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60" yWindow="204" windowWidth="16164" windowHeight="6528" activeTab="2"/>
  </bookViews>
  <sheets>
    <sheet name="Liste" sheetId="53" r:id="rId1"/>
    <sheet name="FPx8" sheetId="67" r:id="rId2"/>
    <sheet name="F.MERE" sheetId="29" r:id="rId3"/>
    <sheet name="R.1.Prés." sheetId="80" r:id="rId4"/>
    <sheet name="Anc,FP" sheetId="65" r:id="rId5"/>
    <sheet name="Lisez-moi" sheetId="28" r:id="rId6"/>
    <sheet name="Feuil2" sheetId="66" r:id="rId7"/>
  </sheets>
  <definedNames>
    <definedName name="D" localSheetId="3">#REF!</definedName>
    <definedName name="D">#REF!</definedName>
    <definedName name="DebDoc" localSheetId="3">#REF!</definedName>
    <definedName name="DebDoc">#REF!</definedName>
    <definedName name="FinDoc" localSheetId="3">#REF!</definedName>
    <definedName name="FinDoc">#REF!</definedName>
    <definedName name="XXX" localSheetId="3">#REF!</definedName>
    <definedName name="XXX">#REF!</definedName>
    <definedName name="YYY" localSheetId="3">#REF!</definedName>
    <definedName name="YYY">#REF!</definedName>
    <definedName name="_xlnm.Print_Area" localSheetId="4">'Anc,FP'!$A$1:$L$59</definedName>
    <definedName name="_xlnm.Print_Area" localSheetId="1">'FPx8'!$A$1:$M$485</definedName>
  </definedNames>
  <calcPr calcId="145621"/>
</workbook>
</file>

<file path=xl/calcChain.xml><?xml version="1.0" encoding="utf-8"?>
<calcChain xmlns="http://schemas.openxmlformats.org/spreadsheetml/2006/main">
  <c r="J64" i="80" l="1"/>
  <c r="I64" i="80"/>
  <c r="AB64" i="80" s="1"/>
  <c r="C64" i="80"/>
  <c r="AC63" i="80"/>
  <c r="AD63" i="80" s="1"/>
  <c r="Q63" i="80"/>
  <c r="I63" i="80"/>
  <c r="P63" i="80" s="1"/>
  <c r="B63" i="80"/>
  <c r="AC62" i="80"/>
  <c r="AD62" i="80" s="1"/>
  <c r="Q62" i="80"/>
  <c r="I62" i="80"/>
  <c r="P62" i="80" s="1"/>
  <c r="B62" i="80"/>
  <c r="AD61" i="80"/>
  <c r="AC61" i="80"/>
  <c r="Q61" i="80"/>
  <c r="I61" i="80"/>
  <c r="P61" i="80" s="1"/>
  <c r="B61" i="80"/>
  <c r="AC60" i="80"/>
  <c r="AD60" i="80" s="1"/>
  <c r="Q60" i="80"/>
  <c r="I60" i="80"/>
  <c r="P60" i="80" s="1"/>
  <c r="B60" i="80"/>
  <c r="AC59" i="80"/>
  <c r="AD59" i="80" s="1"/>
  <c r="Q59" i="80"/>
  <c r="I59" i="80"/>
  <c r="P59" i="80" s="1"/>
  <c r="B59" i="80"/>
  <c r="AC58" i="80"/>
  <c r="AD58" i="80" s="1"/>
  <c r="Q58" i="80"/>
  <c r="I58" i="80"/>
  <c r="P58" i="80" s="1"/>
  <c r="B58" i="80"/>
  <c r="AC57" i="80"/>
  <c r="AD57" i="80" s="1"/>
  <c r="Q57" i="80"/>
  <c r="I57" i="80"/>
  <c r="B57" i="80"/>
  <c r="AC56" i="80"/>
  <c r="AD56" i="80" s="1"/>
  <c r="Q56" i="80"/>
  <c r="I56" i="80"/>
  <c r="P56" i="80" s="1"/>
  <c r="B56" i="80"/>
  <c r="AC55" i="80"/>
  <c r="AD55" i="80" s="1"/>
  <c r="Q55" i="80"/>
  <c r="I55" i="80"/>
  <c r="N55" i="80" s="1"/>
  <c r="B55" i="80"/>
  <c r="AC54" i="80"/>
  <c r="AD54" i="80" s="1"/>
  <c r="Q54" i="80"/>
  <c r="I54" i="80"/>
  <c r="P54" i="80" s="1"/>
  <c r="B54" i="80"/>
  <c r="AC53" i="80"/>
  <c r="AD53" i="80" s="1"/>
  <c r="Q53" i="80"/>
  <c r="I53" i="80"/>
  <c r="N53" i="80" s="1"/>
  <c r="B53" i="80"/>
  <c r="AC52" i="80"/>
  <c r="AD52" i="80" s="1"/>
  <c r="Q52" i="80"/>
  <c r="I52" i="80"/>
  <c r="P52" i="80" s="1"/>
  <c r="B52" i="80"/>
  <c r="AC51" i="80"/>
  <c r="AD51" i="80" s="1"/>
  <c r="Q51" i="80"/>
  <c r="I51" i="80"/>
  <c r="B51" i="80"/>
  <c r="AC50" i="80"/>
  <c r="AD50" i="80" s="1"/>
  <c r="Q50" i="80"/>
  <c r="I50" i="80"/>
  <c r="P50" i="80" s="1"/>
  <c r="B50" i="80"/>
  <c r="AC49" i="80"/>
  <c r="AD49" i="80" s="1"/>
  <c r="Q49" i="80"/>
  <c r="I49" i="80"/>
  <c r="B49" i="80"/>
  <c r="AC48" i="80"/>
  <c r="AD48" i="80" s="1"/>
  <c r="Q48" i="80"/>
  <c r="I48" i="80"/>
  <c r="P48" i="80" s="1"/>
  <c r="B48" i="80"/>
  <c r="AC47" i="80"/>
  <c r="AD47" i="80" s="1"/>
  <c r="Q47" i="80"/>
  <c r="I47" i="80"/>
  <c r="P47" i="80" s="1"/>
  <c r="B47" i="80"/>
  <c r="AC46" i="80"/>
  <c r="AD46" i="80" s="1"/>
  <c r="Q46" i="80"/>
  <c r="I46" i="80"/>
  <c r="P46" i="80" s="1"/>
  <c r="B46" i="80"/>
  <c r="AC45" i="80"/>
  <c r="AD45" i="80" s="1"/>
  <c r="Q45" i="80"/>
  <c r="I45" i="80"/>
  <c r="P45" i="80" s="1"/>
  <c r="B45" i="80"/>
  <c r="AC44" i="80"/>
  <c r="AD44" i="80" s="1"/>
  <c r="Q44" i="80"/>
  <c r="I44" i="80"/>
  <c r="P44" i="80" s="1"/>
  <c r="B44" i="80"/>
  <c r="AC43" i="80"/>
  <c r="AD43" i="80" s="1"/>
  <c r="Q43" i="80"/>
  <c r="I43" i="80"/>
  <c r="B43" i="80"/>
  <c r="AC42" i="80"/>
  <c r="AD42" i="80" s="1"/>
  <c r="Q42" i="80"/>
  <c r="I42" i="80"/>
  <c r="P42" i="80" s="1"/>
  <c r="B42" i="80"/>
  <c r="AC41" i="80"/>
  <c r="AD41" i="80" s="1"/>
  <c r="Q41" i="80"/>
  <c r="I41" i="80"/>
  <c r="P41" i="80" s="1"/>
  <c r="B41" i="80"/>
  <c r="AC40" i="80"/>
  <c r="AD40" i="80" s="1"/>
  <c r="Q40" i="80"/>
  <c r="I40" i="80"/>
  <c r="P40" i="80" s="1"/>
  <c r="F40" i="80"/>
  <c r="J40" i="80" s="1"/>
  <c r="B40" i="80"/>
  <c r="AC39" i="80"/>
  <c r="AD39" i="80" s="1"/>
  <c r="Q39" i="80"/>
  <c r="P39" i="80"/>
  <c r="I39" i="80"/>
  <c r="N39" i="80" s="1"/>
  <c r="B39" i="80"/>
  <c r="AC30" i="80"/>
  <c r="AD30" i="80" s="1"/>
  <c r="Q30" i="80"/>
  <c r="I30" i="80" s="1"/>
  <c r="B30" i="80"/>
  <c r="AC27" i="80"/>
  <c r="AD27" i="80" s="1"/>
  <c r="Q27" i="80"/>
  <c r="I27" i="80" s="1"/>
  <c r="AE27" i="80" s="1"/>
  <c r="B27" i="80"/>
  <c r="AC21" i="80"/>
  <c r="AD21" i="80" s="1"/>
  <c r="Q21" i="80"/>
  <c r="I21" i="80"/>
  <c r="AE21" i="80" s="1"/>
  <c r="B21" i="80"/>
  <c r="AC38" i="80"/>
  <c r="AD38" i="80" s="1"/>
  <c r="Q38" i="80"/>
  <c r="I38" i="80"/>
  <c r="P38" i="80" s="1"/>
  <c r="B38" i="80"/>
  <c r="AC25" i="80"/>
  <c r="AD25" i="80" s="1"/>
  <c r="Q25" i="80"/>
  <c r="I25" i="80"/>
  <c r="AE25" i="80" s="1"/>
  <c r="B25" i="80"/>
  <c r="AC29" i="80"/>
  <c r="AD29" i="80" s="1"/>
  <c r="Q29" i="80"/>
  <c r="I29" i="80" s="1"/>
  <c r="B29" i="80"/>
  <c r="AC28" i="80"/>
  <c r="AD28" i="80" s="1"/>
  <c r="Q28" i="80"/>
  <c r="I28" i="80" s="1"/>
  <c r="AE28" i="80" s="1"/>
  <c r="B28" i="80"/>
  <c r="AD19" i="80"/>
  <c r="AC19" i="80"/>
  <c r="Q19" i="80"/>
  <c r="I19" i="80" s="1"/>
  <c r="P19" i="80" s="1"/>
  <c r="B19" i="80"/>
  <c r="AC33" i="80"/>
  <c r="AD33" i="80" s="1"/>
  <c r="Q33" i="80"/>
  <c r="I33" i="80" s="1"/>
  <c r="AE33" i="80" s="1"/>
  <c r="B33" i="80"/>
  <c r="AC34" i="80"/>
  <c r="AD34" i="80" s="1"/>
  <c r="Q34" i="80"/>
  <c r="I34" i="80" s="1"/>
  <c r="P34" i="80" s="1"/>
  <c r="B34" i="80"/>
  <c r="AC17" i="80"/>
  <c r="AD17" i="80" s="1"/>
  <c r="Q17" i="80"/>
  <c r="I17" i="80" s="1"/>
  <c r="AE17" i="80" s="1"/>
  <c r="B17" i="80"/>
  <c r="AC31" i="80"/>
  <c r="AD31" i="80" s="1"/>
  <c r="Q31" i="80"/>
  <c r="I31" i="80" s="1"/>
  <c r="B31" i="80"/>
  <c r="AC23" i="80"/>
  <c r="AD23" i="80" s="1"/>
  <c r="Q23" i="80"/>
  <c r="I23" i="80" s="1"/>
  <c r="AE23" i="80" s="1"/>
  <c r="B23" i="80"/>
  <c r="AC16" i="80"/>
  <c r="AD16" i="80" s="1"/>
  <c r="Q16" i="80"/>
  <c r="I16" i="80" s="1"/>
  <c r="P16" i="80" s="1"/>
  <c r="B16" i="80"/>
  <c r="AC32" i="80"/>
  <c r="AD32" i="80" s="1"/>
  <c r="Q32" i="80"/>
  <c r="I32" i="80" s="1"/>
  <c r="B32" i="80"/>
  <c r="AC24" i="80"/>
  <c r="AD24" i="80" s="1"/>
  <c r="Q24" i="80"/>
  <c r="I24" i="80"/>
  <c r="P24" i="80" s="1"/>
  <c r="B24" i="80"/>
  <c r="AC37" i="80"/>
  <c r="AD37" i="80" s="1"/>
  <c r="Q37" i="80"/>
  <c r="I37" i="80"/>
  <c r="P37" i="80" s="1"/>
  <c r="B37" i="80"/>
  <c r="AC26" i="80"/>
  <c r="AD26" i="80" s="1"/>
  <c r="Q26" i="80"/>
  <c r="I26" i="80" s="1"/>
  <c r="P26" i="80" s="1"/>
  <c r="B26" i="80"/>
  <c r="AC20" i="80"/>
  <c r="AD20" i="80" s="1"/>
  <c r="Q20" i="80"/>
  <c r="I20" i="80" s="1"/>
  <c r="F20" i="80" s="1"/>
  <c r="B20" i="80"/>
  <c r="AC36" i="80"/>
  <c r="AD36" i="80" s="1"/>
  <c r="Q36" i="80"/>
  <c r="I36" i="80"/>
  <c r="N36" i="80" s="1"/>
  <c r="B36" i="80"/>
  <c r="AC22" i="80"/>
  <c r="AD22" i="80" s="1"/>
  <c r="Q22" i="80"/>
  <c r="I22" i="80" s="1"/>
  <c r="AE22" i="80" s="1"/>
  <c r="B22" i="80"/>
  <c r="AC15" i="80"/>
  <c r="AD15" i="80" s="1"/>
  <c r="Q15" i="80"/>
  <c r="I15" i="80" s="1"/>
  <c r="P15" i="80" s="1"/>
  <c r="B15" i="80"/>
  <c r="AC18" i="80"/>
  <c r="AD18" i="80" s="1"/>
  <c r="Q18" i="80"/>
  <c r="I18" i="80" s="1"/>
  <c r="F18" i="80" s="1"/>
  <c r="C18" i="80" s="1"/>
  <c r="B18" i="80"/>
  <c r="AC35" i="80"/>
  <c r="AD35" i="80" s="1"/>
  <c r="Q35" i="80"/>
  <c r="I35" i="80"/>
  <c r="F35" i="80" s="1"/>
  <c r="J35" i="80" s="1"/>
  <c r="B35" i="80"/>
  <c r="AC14" i="80"/>
  <c r="AD14" i="80" s="1"/>
  <c r="Q14" i="80"/>
  <c r="B14" i="80"/>
  <c r="AA13" i="80"/>
  <c r="Z13" i="80"/>
  <c r="Y13" i="80"/>
  <c r="X13" i="80"/>
  <c r="W13" i="80"/>
  <c r="V13" i="80"/>
  <c r="U13" i="80"/>
  <c r="T13" i="80"/>
  <c r="S13" i="80"/>
  <c r="R13" i="80"/>
  <c r="AJ11" i="80"/>
  <c r="N11" i="80"/>
  <c r="AK10" i="80"/>
  <c r="AJ10" i="80"/>
  <c r="AI10" i="80"/>
  <c r="L7" i="80"/>
  <c r="K7" i="80"/>
  <c r="AF6" i="80" s="1"/>
  <c r="K5" i="80"/>
  <c r="AA4" i="80"/>
  <c r="Z4" i="80"/>
  <c r="Y4" i="80"/>
  <c r="X4" i="80"/>
  <c r="W4" i="80"/>
  <c r="V4" i="80"/>
  <c r="U4" i="80"/>
  <c r="T4" i="80"/>
  <c r="S4" i="80"/>
  <c r="R4" i="80"/>
  <c r="AA3" i="80"/>
  <c r="Z3" i="80"/>
  <c r="Y3" i="80"/>
  <c r="X3" i="80"/>
  <c r="W3" i="80"/>
  <c r="V3" i="80"/>
  <c r="U3" i="80"/>
  <c r="T3" i="80"/>
  <c r="S3" i="80"/>
  <c r="R3" i="80"/>
  <c r="O2" i="80"/>
  <c r="A1" i="80"/>
  <c r="Q4" i="80" l="1"/>
  <c r="F44" i="80"/>
  <c r="D44" i="80" s="1"/>
  <c r="AE44" i="80"/>
  <c r="F42" i="80"/>
  <c r="D42" i="80" s="1"/>
  <c r="F58" i="80"/>
  <c r="D58" i="80" s="1"/>
  <c r="AE58" i="80"/>
  <c r="N25" i="80"/>
  <c r="N21" i="80"/>
  <c r="N46" i="80"/>
  <c r="N61" i="80"/>
  <c r="Q3" i="80"/>
  <c r="C10" i="80" s="1"/>
  <c r="F22" i="80"/>
  <c r="C22" i="80" s="1"/>
  <c r="P53" i="80"/>
  <c r="F62" i="80"/>
  <c r="J62" i="80" s="1"/>
  <c r="AB62" i="80" s="1"/>
  <c r="AE62" i="80"/>
  <c r="AE46" i="80"/>
  <c r="AE42" i="80"/>
  <c r="I14" i="80"/>
  <c r="AE14" i="80" s="1"/>
  <c r="AE18" i="80"/>
  <c r="F37" i="80"/>
  <c r="J37" i="80" s="1"/>
  <c r="AB37" i="80" s="1"/>
  <c r="F21" i="80"/>
  <c r="C21" i="80" s="1"/>
  <c r="F46" i="80"/>
  <c r="J46" i="80" s="1"/>
  <c r="AB46" i="80" s="1"/>
  <c r="F48" i="80"/>
  <c r="J48" i="80" s="1"/>
  <c r="F52" i="80"/>
  <c r="J52" i="80" s="1"/>
  <c r="AB52" i="80" s="1"/>
  <c r="AE52" i="80"/>
  <c r="M64" i="80"/>
  <c r="E64" i="80" s="1"/>
  <c r="P36" i="80"/>
  <c r="AE20" i="80"/>
  <c r="AE38" i="80"/>
  <c r="AE54" i="80"/>
  <c r="P55" i="80"/>
  <c r="J58" i="80"/>
  <c r="AB58" i="80" s="1"/>
  <c r="N15" i="80"/>
  <c r="AE37" i="80"/>
  <c r="N38" i="80"/>
  <c r="P21" i="80"/>
  <c r="N45" i="80"/>
  <c r="AE48" i="80"/>
  <c r="F50" i="80"/>
  <c r="C50" i="80" s="1"/>
  <c r="D52" i="80"/>
  <c r="N54" i="80"/>
  <c r="F56" i="80"/>
  <c r="J56" i="80" s="1"/>
  <c r="AB56" i="80" s="1"/>
  <c r="N58" i="80"/>
  <c r="F60" i="80"/>
  <c r="D60" i="80" s="1"/>
  <c r="AE60" i="80"/>
  <c r="N62" i="80"/>
  <c r="AE50" i="80"/>
  <c r="AE56" i="80"/>
  <c r="N26" i="80"/>
  <c r="F38" i="80"/>
  <c r="C38" i="80" s="1"/>
  <c r="AE40" i="80"/>
  <c r="N42" i="80"/>
  <c r="N47" i="80"/>
  <c r="N50" i="80"/>
  <c r="F54" i="80"/>
  <c r="J54" i="80" s="1"/>
  <c r="AB54" i="80" s="1"/>
  <c r="N63" i="80"/>
  <c r="P64" i="80"/>
  <c r="C1" i="80"/>
  <c r="D11" i="80"/>
  <c r="AJ8" i="80" s="1"/>
  <c r="C11" i="80"/>
  <c r="N29" i="80"/>
  <c r="AE29" i="80"/>
  <c r="P29" i="80"/>
  <c r="F29" i="80"/>
  <c r="E20" i="80"/>
  <c r="C20" i="80"/>
  <c r="N32" i="80"/>
  <c r="P32" i="80"/>
  <c r="AE31" i="80"/>
  <c r="F31" i="80"/>
  <c r="K1" i="80"/>
  <c r="D35" i="80"/>
  <c r="N35" i="80"/>
  <c r="D18" i="80"/>
  <c r="AE32" i="80"/>
  <c r="F16" i="80"/>
  <c r="AE16" i="80"/>
  <c r="P23" i="80"/>
  <c r="N23" i="80"/>
  <c r="P31" i="80"/>
  <c r="F34" i="80"/>
  <c r="AE34" i="80"/>
  <c r="P33" i="80"/>
  <c r="N33" i="80"/>
  <c r="AE49" i="80"/>
  <c r="F49" i="80"/>
  <c r="N49" i="80"/>
  <c r="F51" i="80"/>
  <c r="AE51" i="80"/>
  <c r="N51" i="80"/>
  <c r="AE57" i="80"/>
  <c r="F57" i="80"/>
  <c r="N57" i="80"/>
  <c r="E35" i="80"/>
  <c r="P35" i="80"/>
  <c r="E18" i="80"/>
  <c r="N18" i="80"/>
  <c r="P18" i="80"/>
  <c r="AE36" i="80"/>
  <c r="F36" i="80"/>
  <c r="D20" i="80"/>
  <c r="N20" i="80"/>
  <c r="P20" i="80"/>
  <c r="N16" i="80"/>
  <c r="F23" i="80"/>
  <c r="N34" i="80"/>
  <c r="F33" i="80"/>
  <c r="P27" i="80"/>
  <c r="N27" i="80"/>
  <c r="F27" i="80"/>
  <c r="C40" i="80"/>
  <c r="E40" i="80"/>
  <c r="D40" i="80"/>
  <c r="AE41" i="80"/>
  <c r="F41" i="80"/>
  <c r="N41" i="80"/>
  <c r="P49" i="80"/>
  <c r="P51" i="80"/>
  <c r="P57" i="80"/>
  <c r="F59" i="80"/>
  <c r="AE59" i="80"/>
  <c r="N59" i="80"/>
  <c r="AE35" i="80"/>
  <c r="AE24" i="80"/>
  <c r="F24" i="80"/>
  <c r="N17" i="80"/>
  <c r="P17" i="80"/>
  <c r="AE19" i="80"/>
  <c r="F19" i="80"/>
  <c r="N28" i="80"/>
  <c r="P28" i="80"/>
  <c r="D21" i="80"/>
  <c r="AE30" i="80"/>
  <c r="F30" i="80"/>
  <c r="N30" i="80"/>
  <c r="F43" i="80"/>
  <c r="AE43" i="80"/>
  <c r="N43" i="80"/>
  <c r="C35" i="80"/>
  <c r="AB35" i="80"/>
  <c r="J18" i="80"/>
  <c r="AB18" i="80" s="1"/>
  <c r="F15" i="80"/>
  <c r="AE15" i="80"/>
  <c r="P22" i="80"/>
  <c r="N22" i="80"/>
  <c r="J20" i="80"/>
  <c r="AB20" i="80" s="1"/>
  <c r="F26" i="80"/>
  <c r="AE26" i="80"/>
  <c r="N24" i="80"/>
  <c r="F32" i="80"/>
  <c r="N31" i="80"/>
  <c r="F17" i="80"/>
  <c r="N19" i="80"/>
  <c r="F28" i="80"/>
  <c r="F25" i="80"/>
  <c r="P25" i="80"/>
  <c r="P30" i="80"/>
  <c r="P43" i="80"/>
  <c r="D54" i="80"/>
  <c r="N37" i="80"/>
  <c r="F39" i="80"/>
  <c r="AE39" i="80"/>
  <c r="AE53" i="80"/>
  <c r="F53" i="80"/>
  <c r="F55" i="80"/>
  <c r="AE55" i="80"/>
  <c r="E58" i="80"/>
  <c r="C58" i="80"/>
  <c r="AE45" i="80"/>
  <c r="F45" i="80"/>
  <c r="F47" i="80"/>
  <c r="AE47" i="80"/>
  <c r="AE61" i="80"/>
  <c r="F61" i="80"/>
  <c r="F63" i="80"/>
  <c r="AE63" i="80"/>
  <c r="N40" i="80"/>
  <c r="AB40" i="80"/>
  <c r="N44" i="80"/>
  <c r="N48" i="80"/>
  <c r="AB48" i="80"/>
  <c r="N52" i="80"/>
  <c r="N56" i="80"/>
  <c r="N60" i="80"/>
  <c r="L64" i="80"/>
  <c r="A1" i="29"/>
  <c r="C44" i="80" l="1"/>
  <c r="E48" i="80"/>
  <c r="C52" i="80"/>
  <c r="P14" i="80"/>
  <c r="E11" i="80"/>
  <c r="G3" i="80" s="1"/>
  <c r="E60" i="80"/>
  <c r="E37" i="80"/>
  <c r="J60" i="80"/>
  <c r="AB60" i="80" s="1"/>
  <c r="E52" i="80"/>
  <c r="C42" i="80"/>
  <c r="E22" i="80"/>
  <c r="J44" i="80"/>
  <c r="AB44" i="80" s="1"/>
  <c r="E44" i="80"/>
  <c r="C62" i="80"/>
  <c r="E54" i="80"/>
  <c r="E50" i="80"/>
  <c r="E42" i="80"/>
  <c r="J42" i="80"/>
  <c r="AB42" i="80" s="1"/>
  <c r="F14" i="80"/>
  <c r="E10" i="80" s="1"/>
  <c r="E62" i="80"/>
  <c r="E56" i="80"/>
  <c r="D46" i="80"/>
  <c r="D10" i="80"/>
  <c r="O47" i="80" s="1"/>
  <c r="N14" i="80"/>
  <c r="M7" i="80"/>
  <c r="N7" i="80" s="1"/>
  <c r="O7" i="80" s="1"/>
  <c r="C46" i="80"/>
  <c r="C60" i="80"/>
  <c r="D37" i="80"/>
  <c r="I3" i="80"/>
  <c r="D62" i="80"/>
  <c r="E46" i="80"/>
  <c r="C37" i="80"/>
  <c r="E21" i="80"/>
  <c r="O32" i="80"/>
  <c r="C48" i="80"/>
  <c r="C54" i="80"/>
  <c r="D22" i="80"/>
  <c r="J21" i="80"/>
  <c r="AB21" i="80" s="1"/>
  <c r="J22" i="80"/>
  <c r="AB22" i="80" s="1"/>
  <c r="D48" i="80"/>
  <c r="J38" i="80"/>
  <c r="AB38" i="80" s="1"/>
  <c r="D38" i="80"/>
  <c r="O53" i="80"/>
  <c r="O42" i="80"/>
  <c r="O30" i="80"/>
  <c r="O36" i="80"/>
  <c r="D56" i="80"/>
  <c r="O62" i="80"/>
  <c r="O39" i="80"/>
  <c r="O58" i="80"/>
  <c r="O43" i="80"/>
  <c r="E38" i="80"/>
  <c r="O28" i="80"/>
  <c r="C56" i="80"/>
  <c r="O24" i="80"/>
  <c r="J50" i="80"/>
  <c r="AB50" i="80" s="1"/>
  <c r="D50" i="80"/>
  <c r="J39" i="80"/>
  <c r="AB39" i="80" s="1"/>
  <c r="D39" i="80"/>
  <c r="E39" i="80"/>
  <c r="J61" i="80"/>
  <c r="AB61" i="80" s="1"/>
  <c r="D61" i="80"/>
  <c r="C61" i="80"/>
  <c r="E61" i="80"/>
  <c r="J55" i="80"/>
  <c r="AB55" i="80" s="1"/>
  <c r="D55" i="80"/>
  <c r="C55" i="80"/>
  <c r="E55" i="80"/>
  <c r="E25" i="80"/>
  <c r="J25" i="80"/>
  <c r="AB25" i="80" s="1"/>
  <c r="C25" i="80"/>
  <c r="D25" i="80"/>
  <c r="J43" i="80"/>
  <c r="AB43" i="80" s="1"/>
  <c r="D43" i="80"/>
  <c r="E43" i="80"/>
  <c r="C43" i="80"/>
  <c r="J19" i="80"/>
  <c r="AB19" i="80" s="1"/>
  <c r="D19" i="80"/>
  <c r="E19" i="80"/>
  <c r="C19" i="80"/>
  <c r="J59" i="80"/>
  <c r="AB59" i="80" s="1"/>
  <c r="D59" i="80"/>
  <c r="E59" i="80"/>
  <c r="C59" i="80"/>
  <c r="J41" i="80"/>
  <c r="AB41" i="80" s="1"/>
  <c r="D41" i="80"/>
  <c r="E41" i="80"/>
  <c r="C41" i="80"/>
  <c r="E14" i="80"/>
  <c r="J49" i="80"/>
  <c r="AB49" i="80" s="1"/>
  <c r="D49" i="80"/>
  <c r="E49" i="80"/>
  <c r="C49" i="80"/>
  <c r="J34" i="80"/>
  <c r="AB34" i="80" s="1"/>
  <c r="D34" i="80"/>
  <c r="E34" i="80"/>
  <c r="C34" i="80"/>
  <c r="J16" i="80"/>
  <c r="AB16" i="80" s="1"/>
  <c r="D16" i="80"/>
  <c r="E16" i="80"/>
  <c r="C16" i="80"/>
  <c r="O50" i="80"/>
  <c r="O48" i="80"/>
  <c r="O60" i="80"/>
  <c r="O54" i="80"/>
  <c r="O38" i="80"/>
  <c r="O33" i="80"/>
  <c r="O23" i="80"/>
  <c r="O37" i="80"/>
  <c r="O52" i="80"/>
  <c r="AJ7" i="80"/>
  <c r="O14" i="80"/>
  <c r="AI7" i="80"/>
  <c r="O22" i="80"/>
  <c r="AD11" i="80"/>
  <c r="AK7" i="80"/>
  <c r="J45" i="80"/>
  <c r="AB45" i="80" s="1"/>
  <c r="D45" i="80"/>
  <c r="C45" i="80"/>
  <c r="E45" i="80"/>
  <c r="O25" i="80"/>
  <c r="O56" i="80"/>
  <c r="O45" i="80"/>
  <c r="E28" i="80"/>
  <c r="C28" i="80"/>
  <c r="D28" i="80"/>
  <c r="J28" i="80"/>
  <c r="AB28" i="80" s="1"/>
  <c r="E32" i="80"/>
  <c r="C32" i="80"/>
  <c r="D32" i="80"/>
  <c r="J32" i="80"/>
  <c r="AB32" i="80" s="1"/>
  <c r="O59" i="80"/>
  <c r="O41" i="80"/>
  <c r="O57" i="80"/>
  <c r="O49" i="80"/>
  <c r="C27" i="80"/>
  <c r="E27" i="80"/>
  <c r="D27" i="80"/>
  <c r="J27" i="80"/>
  <c r="AB27" i="80" s="1"/>
  <c r="O21" i="80"/>
  <c r="O17" i="80"/>
  <c r="O26" i="80"/>
  <c r="O46" i="80"/>
  <c r="O44" i="80"/>
  <c r="O31" i="80"/>
  <c r="O20" i="80"/>
  <c r="O16" i="80"/>
  <c r="J29" i="80"/>
  <c r="AB29" i="80" s="1"/>
  <c r="D29" i="80"/>
  <c r="E29" i="80"/>
  <c r="C29" i="80"/>
  <c r="J63" i="80"/>
  <c r="AB63" i="80" s="1"/>
  <c r="D63" i="80"/>
  <c r="C63" i="80"/>
  <c r="E63" i="80"/>
  <c r="J53" i="80"/>
  <c r="AB53" i="80" s="1"/>
  <c r="D53" i="80"/>
  <c r="C53" i="80"/>
  <c r="E53" i="80"/>
  <c r="J26" i="80"/>
  <c r="AB26" i="80" s="1"/>
  <c r="D26" i="80"/>
  <c r="E26" i="80"/>
  <c r="C26" i="80"/>
  <c r="C23" i="80"/>
  <c r="E23" i="80"/>
  <c r="D23" i="80"/>
  <c r="J23" i="80"/>
  <c r="AB23" i="80" s="1"/>
  <c r="J51" i="80"/>
  <c r="AB51" i="80" s="1"/>
  <c r="D51" i="80"/>
  <c r="E51" i="80"/>
  <c r="C51" i="80"/>
  <c r="D64" i="80"/>
  <c r="N64" i="80"/>
  <c r="O55" i="80"/>
  <c r="J47" i="80"/>
  <c r="AB47" i="80" s="1"/>
  <c r="D47" i="80"/>
  <c r="C47" i="80"/>
  <c r="E47" i="80"/>
  <c r="O61" i="80"/>
  <c r="O40" i="80"/>
  <c r="O27" i="80"/>
  <c r="E17" i="80"/>
  <c r="C17" i="80"/>
  <c r="J17" i="80"/>
  <c r="AB17" i="80" s="1"/>
  <c r="D17" i="80"/>
  <c r="J15" i="80"/>
  <c r="AB15" i="80" s="1"/>
  <c r="D15" i="80"/>
  <c r="C15" i="80"/>
  <c r="E15" i="80"/>
  <c r="J30" i="80"/>
  <c r="AB30" i="80" s="1"/>
  <c r="D30" i="80"/>
  <c r="E30" i="80"/>
  <c r="C30" i="80"/>
  <c r="J24" i="80"/>
  <c r="AB24" i="80" s="1"/>
  <c r="D24" i="80"/>
  <c r="E24" i="80"/>
  <c r="C24" i="80"/>
  <c r="O51" i="80"/>
  <c r="C33" i="80"/>
  <c r="E33" i="80"/>
  <c r="J33" i="80"/>
  <c r="AB33" i="80" s="1"/>
  <c r="D33" i="80"/>
  <c r="J36" i="80"/>
  <c r="AB36" i="80" s="1"/>
  <c r="D36" i="80"/>
  <c r="C36" i="80"/>
  <c r="E36" i="80"/>
  <c r="O35" i="80"/>
  <c r="J57" i="80"/>
  <c r="AB57" i="80" s="1"/>
  <c r="D57" i="80"/>
  <c r="E57" i="80"/>
  <c r="C57" i="80"/>
  <c r="J31" i="80"/>
  <c r="AB31" i="80" s="1"/>
  <c r="D31" i="80"/>
  <c r="E31" i="80"/>
  <c r="C31" i="80"/>
  <c r="I40" i="29"/>
  <c r="O19" i="80" l="1"/>
  <c r="F3" i="80"/>
  <c r="C14" i="80"/>
  <c r="C3" i="80" s="1"/>
  <c r="C6" i="80" s="1"/>
  <c r="D14" i="80"/>
  <c r="D3" i="80" s="1"/>
  <c r="J14" i="80"/>
  <c r="J3" i="80" s="1"/>
  <c r="AE8" i="80" s="1"/>
  <c r="AF8" i="80" s="1"/>
  <c r="O29" i="80"/>
  <c r="O34" i="80"/>
  <c r="O18" i="80"/>
  <c r="O15" i="80"/>
  <c r="O63" i="80"/>
  <c r="M3" i="80"/>
  <c r="E3" i="80"/>
  <c r="AB14" i="80"/>
  <c r="AF6" i="29"/>
  <c r="K3" i="80" l="1"/>
  <c r="L3" i="80"/>
  <c r="AC2" i="80" s="1"/>
  <c r="G7" i="80"/>
  <c r="AC11" i="80"/>
  <c r="AF5" i="80"/>
  <c r="AE9" i="80"/>
  <c r="AF9" i="80" s="1"/>
  <c r="AK10" i="29"/>
  <c r="AK7" i="29"/>
  <c r="N3" i="80" l="1"/>
  <c r="AM1" i="80" s="1"/>
  <c r="AF2" i="80"/>
  <c r="AG2" i="80"/>
  <c r="AE2" i="80"/>
  <c r="AD2" i="80"/>
  <c r="O3" i="80"/>
  <c r="N11" i="29"/>
  <c r="AJ2" i="80" l="1"/>
  <c r="AO7" i="80" s="1"/>
  <c r="AO8" i="80"/>
  <c r="Y59" i="53"/>
  <c r="AO3" i="80" l="1"/>
  <c r="AO2" i="80"/>
  <c r="AH3" i="80"/>
  <c r="AO4" i="80"/>
  <c r="AO6" i="80"/>
  <c r="AO5" i="80"/>
  <c r="C5" i="80"/>
  <c r="K9" i="80"/>
  <c r="G32" i="67"/>
  <c r="A314" i="67" l="1"/>
  <c r="B330" i="67"/>
  <c r="C327" i="67"/>
  <c r="B324" i="67"/>
  <c r="G331" i="67" s="1"/>
  <c r="A323" i="67"/>
  <c r="B331" i="67" s="1"/>
  <c r="C308" i="67"/>
  <c r="A308" i="67"/>
  <c r="C307" i="67"/>
  <c r="B307" i="67"/>
  <c r="C306" i="67"/>
  <c r="B306" i="67"/>
  <c r="A306" i="67"/>
  <c r="B305" i="67"/>
  <c r="A305" i="67"/>
  <c r="C304" i="67"/>
  <c r="A304" i="67"/>
  <c r="B303" i="67"/>
  <c r="A303" i="67"/>
  <c r="E301" i="67"/>
  <c r="B301" i="67"/>
  <c r="G308" i="67" s="1"/>
  <c r="A301" i="67"/>
  <c r="A300" i="67"/>
  <c r="B308" i="67" s="1"/>
  <c r="C298" i="67"/>
  <c r="B297" i="67"/>
  <c r="A296" i="67"/>
  <c r="B294" i="67"/>
  <c r="B292" i="67"/>
  <c r="G299" i="67" s="1"/>
  <c r="A291" i="67"/>
  <c r="C299" i="67" s="1"/>
  <c r="C290" i="67"/>
  <c r="A290" i="67"/>
  <c r="C289" i="67"/>
  <c r="B289" i="67"/>
  <c r="C288" i="67"/>
  <c r="B288" i="67"/>
  <c r="A288" i="67"/>
  <c r="B287" i="67"/>
  <c r="A287" i="67"/>
  <c r="C286" i="67"/>
  <c r="A286" i="67"/>
  <c r="B285" i="67"/>
  <c r="A285" i="67"/>
  <c r="B283" i="67"/>
  <c r="G290" i="67" s="1"/>
  <c r="A283" i="67"/>
  <c r="A282" i="67"/>
  <c r="B290" i="67" s="1"/>
  <c r="C280" i="67"/>
  <c r="B279" i="67"/>
  <c r="A278" i="67"/>
  <c r="B276" i="67"/>
  <c r="B274" i="67"/>
  <c r="G281" i="67" s="1"/>
  <c r="A273" i="67"/>
  <c r="C281" i="67" s="1"/>
  <c r="A272" i="67"/>
  <c r="C271" i="67"/>
  <c r="C270" i="67"/>
  <c r="B270" i="67"/>
  <c r="B269" i="67"/>
  <c r="A269" i="67"/>
  <c r="A268" i="67"/>
  <c r="B267" i="67"/>
  <c r="E265" i="67"/>
  <c r="B265" i="67"/>
  <c r="G272" i="67" s="1"/>
  <c r="A264" i="67"/>
  <c r="C272" i="67" s="1"/>
  <c r="C263" i="67"/>
  <c r="A263" i="67"/>
  <c r="C262" i="67"/>
  <c r="B262" i="67"/>
  <c r="C261" i="67"/>
  <c r="B261" i="67"/>
  <c r="A261" i="67"/>
  <c r="B260" i="67"/>
  <c r="A260" i="67"/>
  <c r="C259" i="67"/>
  <c r="A259" i="67"/>
  <c r="B258" i="67"/>
  <c r="A258" i="67"/>
  <c r="E256" i="67"/>
  <c r="B256" i="67"/>
  <c r="G263" i="67" s="1"/>
  <c r="A256" i="67"/>
  <c r="A255" i="67"/>
  <c r="B263" i="67" s="1"/>
  <c r="C254" i="67"/>
  <c r="A254" i="67"/>
  <c r="C253" i="67"/>
  <c r="B253" i="67"/>
  <c r="C252" i="67"/>
  <c r="B252" i="67"/>
  <c r="A252" i="67"/>
  <c r="B251" i="67"/>
  <c r="A251" i="67"/>
  <c r="C250" i="67"/>
  <c r="A250" i="67"/>
  <c r="B249" i="67"/>
  <c r="A249" i="67"/>
  <c r="E247" i="67"/>
  <c r="B247" i="67"/>
  <c r="G254" i="67" s="1"/>
  <c r="A247" i="67"/>
  <c r="A246" i="67"/>
  <c r="B254" i="67" s="1"/>
  <c r="A231" i="67"/>
  <c r="C229" i="67"/>
  <c r="B228" i="67"/>
  <c r="A227" i="67"/>
  <c r="E224" i="67"/>
  <c r="A223" i="67"/>
  <c r="C231" i="67" s="1"/>
  <c r="C222" i="67"/>
  <c r="A222" i="67"/>
  <c r="C221" i="67"/>
  <c r="B221" i="67"/>
  <c r="C220" i="67"/>
  <c r="B220" i="67"/>
  <c r="A220" i="67"/>
  <c r="B219" i="67"/>
  <c r="A219" i="67"/>
  <c r="C218" i="67"/>
  <c r="A218" i="67"/>
  <c r="B217" i="67"/>
  <c r="A217" i="67"/>
  <c r="E215" i="67"/>
  <c r="B215" i="67"/>
  <c r="G222" i="67" s="1"/>
  <c r="A215" i="67"/>
  <c r="A214" i="67"/>
  <c r="B222" i="67" s="1"/>
  <c r="A213" i="67"/>
  <c r="C211" i="67"/>
  <c r="B210" i="67"/>
  <c r="A209" i="67"/>
  <c r="E206" i="67"/>
  <c r="A205" i="67"/>
  <c r="C213" i="67" s="1"/>
  <c r="A204" i="67"/>
  <c r="C203" i="67"/>
  <c r="C202" i="67"/>
  <c r="B202" i="67"/>
  <c r="B201" i="67"/>
  <c r="A201" i="67"/>
  <c r="A200" i="67"/>
  <c r="B199" i="67"/>
  <c r="E197" i="67"/>
  <c r="B197" i="67"/>
  <c r="G204" i="67" s="1"/>
  <c r="A196" i="67"/>
  <c r="C204" i="67" s="1"/>
  <c r="C194" i="67"/>
  <c r="B193" i="67"/>
  <c r="A192" i="67"/>
  <c r="B190" i="67"/>
  <c r="B188" i="67"/>
  <c r="G195" i="67" s="1"/>
  <c r="A187" i="67"/>
  <c r="C195" i="67" s="1"/>
  <c r="A186" i="67"/>
  <c r="C184" i="67"/>
  <c r="B183" i="67"/>
  <c r="A182" i="67"/>
  <c r="E179" i="67"/>
  <c r="A178" i="67"/>
  <c r="C186" i="67" s="1"/>
  <c r="C177" i="67"/>
  <c r="A177" i="67"/>
  <c r="C176" i="67"/>
  <c r="B176" i="67"/>
  <c r="C175" i="67"/>
  <c r="B175" i="67"/>
  <c r="A175" i="67"/>
  <c r="B174" i="67"/>
  <c r="A174" i="67"/>
  <c r="C173" i="67"/>
  <c r="A173" i="67"/>
  <c r="B172" i="67"/>
  <c r="A172" i="67"/>
  <c r="E170" i="67"/>
  <c r="B170" i="67"/>
  <c r="G177" i="67" s="1"/>
  <c r="A170" i="67"/>
  <c r="A169" i="67"/>
  <c r="B177" i="67" s="1"/>
  <c r="A146" i="67"/>
  <c r="B153" i="67" s="1"/>
  <c r="C144" i="67"/>
  <c r="B143" i="67"/>
  <c r="A142" i="67"/>
  <c r="B140" i="67"/>
  <c r="B138" i="67"/>
  <c r="G145" i="67" s="1"/>
  <c r="A137" i="67"/>
  <c r="C145" i="67" s="1"/>
  <c r="A136" i="67"/>
  <c r="C134" i="67"/>
  <c r="B133" i="67"/>
  <c r="A132" i="67"/>
  <c r="E129" i="67"/>
  <c r="A128" i="67"/>
  <c r="C136" i="67" s="1"/>
  <c r="C127" i="67"/>
  <c r="A127" i="67"/>
  <c r="C126" i="67"/>
  <c r="B126" i="67"/>
  <c r="C125" i="67"/>
  <c r="B125" i="67"/>
  <c r="A125" i="67"/>
  <c r="B124" i="67"/>
  <c r="A124" i="67"/>
  <c r="C123" i="67"/>
  <c r="A123" i="67"/>
  <c r="B122" i="67"/>
  <c r="A122" i="67"/>
  <c r="E120" i="67"/>
  <c r="B120" i="67"/>
  <c r="G127" i="67" s="1"/>
  <c r="A120" i="67"/>
  <c r="A119" i="67"/>
  <c r="B127" i="67" s="1"/>
  <c r="C118" i="67"/>
  <c r="A118" i="67"/>
  <c r="C117" i="67"/>
  <c r="B117" i="67"/>
  <c r="C116" i="67"/>
  <c r="B116" i="67"/>
  <c r="A116" i="67"/>
  <c r="B115" i="67"/>
  <c r="A115" i="67"/>
  <c r="C114" i="67"/>
  <c r="A114" i="67"/>
  <c r="B113" i="67"/>
  <c r="A113" i="67"/>
  <c r="E111" i="67"/>
  <c r="B111" i="67"/>
  <c r="G118" i="67" s="1"/>
  <c r="A111" i="67"/>
  <c r="A110" i="67"/>
  <c r="B118" i="67" s="1"/>
  <c r="A109" i="67"/>
  <c r="C107" i="67"/>
  <c r="B106" i="67"/>
  <c r="A105" i="67"/>
  <c r="E102" i="67"/>
  <c r="A101" i="67"/>
  <c r="C109" i="67" s="1"/>
  <c r="C100" i="67"/>
  <c r="A100" i="67"/>
  <c r="C99" i="67"/>
  <c r="B99" i="67"/>
  <c r="C98" i="67"/>
  <c r="B98" i="67"/>
  <c r="A98" i="67"/>
  <c r="B97" i="67"/>
  <c r="A97" i="67"/>
  <c r="C96" i="67"/>
  <c r="A96" i="67"/>
  <c r="B95" i="67"/>
  <c r="A95" i="67"/>
  <c r="E93" i="67"/>
  <c r="B93" i="67"/>
  <c r="G100" i="67" s="1"/>
  <c r="A93" i="67"/>
  <c r="A92" i="67"/>
  <c r="B100" i="67" s="1"/>
  <c r="A77" i="67"/>
  <c r="C75" i="67"/>
  <c r="B74" i="67"/>
  <c r="A73" i="67"/>
  <c r="E70" i="67"/>
  <c r="A69" i="67"/>
  <c r="C77" i="67" s="1"/>
  <c r="C68" i="67"/>
  <c r="A68" i="67"/>
  <c r="C67" i="67"/>
  <c r="B67" i="67"/>
  <c r="C66" i="67"/>
  <c r="B66" i="67"/>
  <c r="A66" i="67"/>
  <c r="B65" i="67"/>
  <c r="A65" i="67"/>
  <c r="C64" i="67"/>
  <c r="A64" i="67"/>
  <c r="B63" i="67"/>
  <c r="A63" i="67"/>
  <c r="E61" i="67"/>
  <c r="B61" i="67"/>
  <c r="G68" i="67" s="1"/>
  <c r="A61" i="67"/>
  <c r="A60" i="67"/>
  <c r="B68" i="67" s="1"/>
  <c r="C59" i="67"/>
  <c r="A59" i="67"/>
  <c r="C58" i="67"/>
  <c r="B58" i="67"/>
  <c r="C57" i="67"/>
  <c r="B57" i="67"/>
  <c r="A57" i="67"/>
  <c r="B56" i="67"/>
  <c r="A56" i="67"/>
  <c r="C55" i="67"/>
  <c r="A55" i="67"/>
  <c r="B54" i="67"/>
  <c r="A54" i="67"/>
  <c r="E52" i="67"/>
  <c r="B52" i="67"/>
  <c r="G59" i="67" s="1"/>
  <c r="A52" i="67"/>
  <c r="A51" i="67"/>
  <c r="B59" i="67" s="1"/>
  <c r="C50" i="67"/>
  <c r="A50" i="67"/>
  <c r="C49" i="67"/>
  <c r="B49" i="67"/>
  <c r="C48" i="67"/>
  <c r="B48" i="67"/>
  <c r="A48" i="67"/>
  <c r="B47" i="67"/>
  <c r="A47" i="67"/>
  <c r="C46" i="67"/>
  <c r="A46" i="67"/>
  <c r="B45" i="67"/>
  <c r="A45" i="67"/>
  <c r="E43" i="67"/>
  <c r="B43" i="67"/>
  <c r="G50" i="67" s="1"/>
  <c r="A43" i="67"/>
  <c r="A42" i="67"/>
  <c r="B50" i="67" s="1"/>
  <c r="C41" i="67"/>
  <c r="A41" i="67"/>
  <c r="C40" i="67"/>
  <c r="B40" i="67"/>
  <c r="C39" i="67"/>
  <c r="B39" i="67"/>
  <c r="A39" i="67"/>
  <c r="B38" i="67"/>
  <c r="A38" i="67"/>
  <c r="C37" i="67"/>
  <c r="A37" i="67"/>
  <c r="B36" i="67"/>
  <c r="A36" i="67"/>
  <c r="E34" i="67"/>
  <c r="B34" i="67"/>
  <c r="G41" i="67" s="1"/>
  <c r="A34" i="67"/>
  <c r="A33" i="67"/>
  <c r="B41" i="67" s="1"/>
  <c r="A24" i="67"/>
  <c r="A32" i="67" s="1"/>
  <c r="A324" i="67" l="1"/>
  <c r="A327" i="67"/>
  <c r="B329" i="67"/>
  <c r="A332" i="67"/>
  <c r="E324" i="67"/>
  <c r="B328" i="67"/>
  <c r="C330" i="67"/>
  <c r="B326" i="67"/>
  <c r="A329" i="67"/>
  <c r="A331" i="67"/>
  <c r="A326" i="67"/>
  <c r="A328" i="67"/>
  <c r="C329" i="67"/>
  <c r="C331" i="67"/>
  <c r="B335" i="67"/>
  <c r="B338" i="67"/>
  <c r="A341" i="67"/>
  <c r="B344" i="67" s="1"/>
  <c r="A336" i="67"/>
  <c r="C338" i="67"/>
  <c r="C348" i="67"/>
  <c r="A348" i="67"/>
  <c r="C345" i="67"/>
  <c r="A334" i="67"/>
  <c r="B336" i="67"/>
  <c r="C337" i="67"/>
  <c r="A339" i="67"/>
  <c r="B340" i="67"/>
  <c r="A333" i="67"/>
  <c r="A335" i="67"/>
  <c r="C336" i="67"/>
  <c r="A338" i="67"/>
  <c r="B339" i="67"/>
  <c r="A325" i="67"/>
  <c r="B327" i="67"/>
  <c r="C328" i="67"/>
  <c r="A330" i="67"/>
  <c r="A302" i="67"/>
  <c r="B304" i="67"/>
  <c r="C305" i="67"/>
  <c r="A307" i="67"/>
  <c r="E292" i="67"/>
  <c r="A295" i="67"/>
  <c r="B296" i="67"/>
  <c r="C297" i="67"/>
  <c r="A299" i="67"/>
  <c r="A293" i="67"/>
  <c r="B295" i="67"/>
  <c r="C296" i="67"/>
  <c r="A298" i="67"/>
  <c r="B299" i="67"/>
  <c r="A292" i="67"/>
  <c r="A294" i="67"/>
  <c r="C295" i="67"/>
  <c r="A297" i="67"/>
  <c r="B298" i="67"/>
  <c r="A284" i="67"/>
  <c r="B286" i="67"/>
  <c r="C287" i="67"/>
  <c r="A289" i="67"/>
  <c r="E274" i="67"/>
  <c r="A277" i="67"/>
  <c r="B278" i="67"/>
  <c r="C279" i="67"/>
  <c r="A281" i="67"/>
  <c r="A275" i="67"/>
  <c r="B277" i="67"/>
  <c r="C278" i="67"/>
  <c r="A280" i="67"/>
  <c r="B281" i="67"/>
  <c r="A274" i="67"/>
  <c r="A276" i="67"/>
  <c r="C277" i="67"/>
  <c r="A279" i="67"/>
  <c r="B280" i="67"/>
  <c r="A266" i="67"/>
  <c r="B268" i="67"/>
  <c r="C269" i="67"/>
  <c r="A271" i="67"/>
  <c r="B272" i="67"/>
  <c r="A265" i="67"/>
  <c r="A267" i="67"/>
  <c r="C268" i="67"/>
  <c r="A270" i="67"/>
  <c r="B271" i="67"/>
  <c r="A257" i="67"/>
  <c r="B259" i="67"/>
  <c r="C260" i="67"/>
  <c r="A262" i="67"/>
  <c r="A248" i="67"/>
  <c r="B250" i="67"/>
  <c r="C251" i="67"/>
  <c r="A253" i="67"/>
  <c r="B224" i="67"/>
  <c r="G231" i="67" s="1"/>
  <c r="B226" i="67"/>
  <c r="A228" i="67"/>
  <c r="B229" i="67"/>
  <c r="C230" i="67"/>
  <c r="A225" i="67"/>
  <c r="B227" i="67"/>
  <c r="C228" i="67"/>
  <c r="A230" i="67"/>
  <c r="B231" i="67"/>
  <c r="A224" i="67"/>
  <c r="A226" i="67"/>
  <c r="C227" i="67"/>
  <c r="A229" i="67"/>
  <c r="B230" i="67"/>
  <c r="A216" i="67"/>
  <c r="B218" i="67"/>
  <c r="C219" i="67"/>
  <c r="A221" i="67"/>
  <c r="A207" i="67"/>
  <c r="C210" i="67"/>
  <c r="A212" i="67"/>
  <c r="B213" i="67"/>
  <c r="C209" i="67"/>
  <c r="B206" i="67"/>
  <c r="G213" i="67" s="1"/>
  <c r="B208" i="67"/>
  <c r="A210" i="67"/>
  <c r="B211" i="67"/>
  <c r="C212" i="67"/>
  <c r="B209" i="67"/>
  <c r="A206" i="67"/>
  <c r="A208" i="67"/>
  <c r="A211" i="67"/>
  <c r="B212" i="67"/>
  <c r="A198" i="67"/>
  <c r="B200" i="67"/>
  <c r="C201" i="67"/>
  <c r="A203" i="67"/>
  <c r="B204" i="67"/>
  <c r="A197" i="67"/>
  <c r="A199" i="67"/>
  <c r="C200" i="67"/>
  <c r="A202" i="67"/>
  <c r="B203" i="67"/>
  <c r="E188" i="67"/>
  <c r="A191" i="67"/>
  <c r="B192" i="67"/>
  <c r="C193" i="67"/>
  <c r="A195" i="67"/>
  <c r="A189" i="67"/>
  <c r="B191" i="67"/>
  <c r="C192" i="67"/>
  <c r="A194" i="67"/>
  <c r="B195" i="67"/>
  <c r="A188" i="67"/>
  <c r="A190" i="67"/>
  <c r="C191" i="67"/>
  <c r="A193" i="67"/>
  <c r="B194" i="67"/>
  <c r="A180" i="67"/>
  <c r="C183" i="67"/>
  <c r="A185" i="67"/>
  <c r="B186" i="67"/>
  <c r="A179" i="67"/>
  <c r="C182" i="67"/>
  <c r="B185" i="67"/>
  <c r="B179" i="67"/>
  <c r="G186" i="67" s="1"/>
  <c r="B181" i="67"/>
  <c r="A183" i="67"/>
  <c r="B184" i="67"/>
  <c r="C185" i="67"/>
  <c r="B182" i="67"/>
  <c r="A181" i="67"/>
  <c r="A184" i="67"/>
  <c r="A171" i="67"/>
  <c r="B173" i="67"/>
  <c r="C174" i="67"/>
  <c r="A176" i="67"/>
  <c r="E147" i="67"/>
  <c r="A150" i="67"/>
  <c r="B151" i="67"/>
  <c r="C152" i="67"/>
  <c r="A154" i="67"/>
  <c r="A148" i="67"/>
  <c r="B150" i="67"/>
  <c r="C151" i="67"/>
  <c r="A153" i="67"/>
  <c r="B154" i="67"/>
  <c r="A147" i="67"/>
  <c r="A149" i="67"/>
  <c r="C150" i="67"/>
  <c r="A152" i="67"/>
  <c r="C154" i="67"/>
  <c r="B147" i="67"/>
  <c r="G154" i="67" s="1"/>
  <c r="B149" i="67"/>
  <c r="A151" i="67"/>
  <c r="B152" i="67"/>
  <c r="C153" i="67"/>
  <c r="E138" i="67"/>
  <c r="A141" i="67"/>
  <c r="B142" i="67"/>
  <c r="C143" i="67"/>
  <c r="A145" i="67"/>
  <c r="A139" i="67"/>
  <c r="B141" i="67"/>
  <c r="C142" i="67"/>
  <c r="A144" i="67"/>
  <c r="B145" i="67"/>
  <c r="A138" i="67"/>
  <c r="A140" i="67"/>
  <c r="C141" i="67"/>
  <c r="A143" i="67"/>
  <c r="B144" i="67"/>
  <c r="B129" i="67"/>
  <c r="G136" i="67" s="1"/>
  <c r="B131" i="67"/>
  <c r="A133" i="67"/>
  <c r="B134" i="67"/>
  <c r="C135" i="67"/>
  <c r="A130" i="67"/>
  <c r="B132" i="67"/>
  <c r="C133" i="67"/>
  <c r="A135" i="67"/>
  <c r="B136" i="67"/>
  <c r="A129" i="67"/>
  <c r="A131" i="67"/>
  <c r="C132" i="67"/>
  <c r="A134" i="67"/>
  <c r="B135" i="67"/>
  <c r="A121" i="67"/>
  <c r="B123" i="67"/>
  <c r="C124" i="67"/>
  <c r="A126" i="67"/>
  <c r="A112" i="67"/>
  <c r="B114" i="67"/>
  <c r="C115" i="67"/>
  <c r="A117" i="67"/>
  <c r="B102" i="67"/>
  <c r="G109" i="67" s="1"/>
  <c r="B104" i="67"/>
  <c r="A106" i="67"/>
  <c r="B107" i="67"/>
  <c r="C108" i="67"/>
  <c r="A103" i="67"/>
  <c r="B105" i="67"/>
  <c r="C106" i="67"/>
  <c r="A108" i="67"/>
  <c r="B109" i="67"/>
  <c r="A102" i="67"/>
  <c r="A104" i="67"/>
  <c r="C105" i="67"/>
  <c r="A107" i="67"/>
  <c r="B108" i="67"/>
  <c r="A94" i="67"/>
  <c r="B96" i="67"/>
  <c r="C97" i="67"/>
  <c r="A99" i="67"/>
  <c r="B70" i="67"/>
  <c r="G77" i="67" s="1"/>
  <c r="B72" i="67"/>
  <c r="A74" i="67"/>
  <c r="B75" i="67"/>
  <c r="C76" i="67"/>
  <c r="A71" i="67"/>
  <c r="B73" i="67"/>
  <c r="C74" i="67"/>
  <c r="A76" i="67"/>
  <c r="B77" i="67"/>
  <c r="A70" i="67"/>
  <c r="A72" i="67"/>
  <c r="C73" i="67"/>
  <c r="A75" i="67"/>
  <c r="B76" i="67"/>
  <c r="A62" i="67"/>
  <c r="B64" i="67"/>
  <c r="C65" i="67"/>
  <c r="A67" i="67"/>
  <c r="A53" i="67"/>
  <c r="B55" i="67"/>
  <c r="C56" i="67"/>
  <c r="A58" i="67"/>
  <c r="A44" i="67"/>
  <c r="B46" i="67"/>
  <c r="C47" i="67"/>
  <c r="A49" i="67"/>
  <c r="A35" i="67"/>
  <c r="B37" i="67"/>
  <c r="C38" i="67"/>
  <c r="A40" i="67"/>
  <c r="A26" i="67"/>
  <c r="B28" i="67"/>
  <c r="C29" i="67"/>
  <c r="A31" i="67"/>
  <c r="B32" i="67"/>
  <c r="A25" i="67"/>
  <c r="A27" i="67"/>
  <c r="C28" i="67"/>
  <c r="A30" i="67"/>
  <c r="B31" i="67"/>
  <c r="C32" i="67"/>
  <c r="B25" i="67"/>
  <c r="B27" i="67"/>
  <c r="A29" i="67"/>
  <c r="B30" i="67"/>
  <c r="C31" i="67"/>
  <c r="E25" i="67"/>
  <c r="A28" i="67"/>
  <c r="B29" i="67"/>
  <c r="C30" i="67"/>
  <c r="L79" i="67"/>
  <c r="L156" i="67" s="1"/>
  <c r="L233" i="67" s="1"/>
  <c r="L310" i="67" s="1"/>
  <c r="L387" i="67" s="1"/>
  <c r="L464" i="67" s="1"/>
  <c r="A6" i="67"/>
  <c r="A14" i="67" s="1"/>
  <c r="B342" i="67" l="1"/>
  <c r="G349" i="67" s="1"/>
  <c r="C340" i="67"/>
  <c r="A337" i="67"/>
  <c r="A340" i="67"/>
  <c r="E333" i="67"/>
  <c r="C339" i="67"/>
  <c r="B333" i="67"/>
  <c r="G340" i="67" s="1"/>
  <c r="B337" i="67"/>
  <c r="C346" i="67"/>
  <c r="B348" i="67"/>
  <c r="A347" i="67"/>
  <c r="B349" i="67"/>
  <c r="A343" i="67"/>
  <c r="C349" i="67"/>
  <c r="A349" i="67"/>
  <c r="E342" i="67"/>
  <c r="C347" i="67"/>
  <c r="B346" i="67"/>
  <c r="A350" i="67"/>
  <c r="A345" i="67"/>
  <c r="A344" i="67"/>
  <c r="B347" i="67"/>
  <c r="A342" i="67"/>
  <c r="B345" i="67"/>
  <c r="A346" i="67"/>
  <c r="B7" i="67"/>
  <c r="G14" i="67" s="1"/>
  <c r="B9" i="67"/>
  <c r="G3" i="67"/>
  <c r="A8" i="67"/>
  <c r="B10" i="67"/>
  <c r="C11" i="67"/>
  <c r="A13" i="67"/>
  <c r="B14" i="67"/>
  <c r="D4" i="67"/>
  <c r="A7" i="67"/>
  <c r="A9" i="67"/>
  <c r="C10" i="67"/>
  <c r="A12" i="67"/>
  <c r="B13" i="67"/>
  <c r="C14" i="67"/>
  <c r="A11" i="67"/>
  <c r="B12" i="67"/>
  <c r="C13" i="67"/>
  <c r="A15" i="67"/>
  <c r="E7" i="67"/>
  <c r="A10" i="67"/>
  <c r="B11" i="67"/>
  <c r="C12" i="67"/>
  <c r="C285" i="65"/>
  <c r="H38" i="53"/>
  <c r="H36" i="53"/>
  <c r="H37" i="53"/>
  <c r="H39" i="53"/>
  <c r="E283" i="67" s="1"/>
  <c r="H40" i="53"/>
  <c r="H35" i="53"/>
  <c r="H41" i="53"/>
  <c r="B358" i="67" l="1"/>
  <c r="A358" i="67"/>
  <c r="B356" i="67"/>
  <c r="C354" i="67"/>
  <c r="E351" i="67"/>
  <c r="B357" i="67"/>
  <c r="A351" i="67"/>
  <c r="C357" i="67"/>
  <c r="A356" i="67"/>
  <c r="A354" i="67"/>
  <c r="B351" i="67"/>
  <c r="G358" i="67" s="1"/>
  <c r="A359" i="67"/>
  <c r="B355" i="67"/>
  <c r="B353" i="67"/>
  <c r="C358" i="67"/>
  <c r="A353" i="67"/>
  <c r="C356" i="67"/>
  <c r="A355" i="67"/>
  <c r="C355" i="67"/>
  <c r="A352" i="67"/>
  <c r="B354" i="67"/>
  <c r="A357" i="67"/>
  <c r="C23" i="67"/>
  <c r="B22" i="67"/>
  <c r="A21" i="67"/>
  <c r="C19" i="67"/>
  <c r="A18" i="67"/>
  <c r="A16" i="67"/>
  <c r="B23" i="67"/>
  <c r="A22" i="67"/>
  <c r="C20" i="67"/>
  <c r="B19" i="67"/>
  <c r="A17" i="67"/>
  <c r="A23" i="67"/>
  <c r="C21" i="67"/>
  <c r="B20" i="67"/>
  <c r="A19" i="67"/>
  <c r="E16" i="67"/>
  <c r="C22" i="67"/>
  <c r="B21" i="67"/>
  <c r="A20" i="67"/>
  <c r="B18" i="67"/>
  <c r="B16" i="67"/>
  <c r="G23" i="67" s="1"/>
  <c r="L61" i="65"/>
  <c r="B367" i="67" l="1"/>
  <c r="C366" i="67"/>
  <c r="A365" i="67"/>
  <c r="A363" i="67"/>
  <c r="B360" i="67"/>
  <c r="G367" i="67" s="1"/>
  <c r="C365" i="67"/>
  <c r="A362" i="67"/>
  <c r="A368" i="67"/>
  <c r="B366" i="67"/>
  <c r="B364" i="67"/>
  <c r="B362" i="67"/>
  <c r="A360" i="67"/>
  <c r="C367" i="67"/>
  <c r="A364" i="67"/>
  <c r="A367" i="67"/>
  <c r="C363" i="67"/>
  <c r="E360" i="67"/>
  <c r="B365" i="67"/>
  <c r="C364" i="67"/>
  <c r="B363" i="67"/>
  <c r="A366" i="67"/>
  <c r="A361" i="67"/>
  <c r="Y11" i="53"/>
  <c r="Y12" i="53"/>
  <c r="Y13" i="53"/>
  <c r="Y14" i="53"/>
  <c r="Y15" i="53"/>
  <c r="Y16" i="53"/>
  <c r="Y17" i="53"/>
  <c r="Y18" i="53"/>
  <c r="Y19" i="53"/>
  <c r="Y20" i="53"/>
  <c r="Y21" i="53"/>
  <c r="Y22" i="53"/>
  <c r="Y23" i="53"/>
  <c r="Y24" i="53"/>
  <c r="Y25" i="53"/>
  <c r="Y26" i="53"/>
  <c r="Y27" i="53"/>
  <c r="Y28" i="53"/>
  <c r="Y29" i="53"/>
  <c r="Y30" i="53"/>
  <c r="Y31" i="53"/>
  <c r="Y32" i="53"/>
  <c r="Y33" i="53"/>
  <c r="Y34" i="53"/>
  <c r="Y35" i="53"/>
  <c r="Y36" i="53"/>
  <c r="Y37" i="53"/>
  <c r="Y39" i="53"/>
  <c r="Y40" i="53"/>
  <c r="Y41" i="53"/>
  <c r="Y42" i="53"/>
  <c r="Y43" i="53"/>
  <c r="Y44" i="53"/>
  <c r="Y45" i="53"/>
  <c r="Y46" i="53"/>
  <c r="Y47" i="53"/>
  <c r="Y48" i="53"/>
  <c r="Y49" i="53"/>
  <c r="Y50" i="53"/>
  <c r="Y51" i="53"/>
  <c r="Y52" i="53"/>
  <c r="Y53" i="53"/>
  <c r="Y54" i="53"/>
  <c r="Y55" i="53"/>
  <c r="Y56" i="53"/>
  <c r="Y57" i="53"/>
  <c r="Y58" i="53"/>
  <c r="X11" i="53"/>
  <c r="X12" i="53"/>
  <c r="X13" i="53"/>
  <c r="X14" i="53"/>
  <c r="X15" i="53"/>
  <c r="X16" i="53"/>
  <c r="X17" i="53"/>
  <c r="X18" i="53"/>
  <c r="X19" i="53"/>
  <c r="X20" i="53"/>
  <c r="X21" i="53"/>
  <c r="X22" i="53"/>
  <c r="X23" i="53"/>
  <c r="X24" i="53"/>
  <c r="X25" i="53"/>
  <c r="X26" i="53"/>
  <c r="X27" i="53"/>
  <c r="X28" i="53"/>
  <c r="X29" i="53"/>
  <c r="X30" i="53"/>
  <c r="X31" i="53"/>
  <c r="X32" i="53"/>
  <c r="X33" i="53"/>
  <c r="X34" i="53"/>
  <c r="X35" i="53"/>
  <c r="X36" i="53"/>
  <c r="X37" i="53"/>
  <c r="X38" i="53"/>
  <c r="X39" i="53"/>
  <c r="X40" i="53"/>
  <c r="X41" i="53"/>
  <c r="X42" i="53"/>
  <c r="X43" i="53"/>
  <c r="X44" i="53"/>
  <c r="X45" i="53"/>
  <c r="X46" i="53"/>
  <c r="X47" i="53"/>
  <c r="X48" i="53"/>
  <c r="X49" i="53"/>
  <c r="X50" i="53"/>
  <c r="X51" i="53"/>
  <c r="X52" i="53"/>
  <c r="X53" i="53"/>
  <c r="X54" i="53"/>
  <c r="X55" i="53"/>
  <c r="X56" i="53"/>
  <c r="X57" i="53"/>
  <c r="X58" i="53"/>
  <c r="X59" i="53"/>
  <c r="Y10" i="53"/>
  <c r="X10" i="53"/>
  <c r="L120" i="65"/>
  <c r="L179" i="65" s="1"/>
  <c r="L238" i="65" s="1"/>
  <c r="L297" i="65" s="1"/>
  <c r="L356" i="65" s="1"/>
  <c r="L415" i="65" s="1"/>
  <c r="L474" i="65" s="1"/>
  <c r="B376" i="67" l="1"/>
  <c r="A377" i="67"/>
  <c r="B375" i="67"/>
  <c r="B373" i="67"/>
  <c r="B371" i="67"/>
  <c r="A369" i="67"/>
  <c r="A376" i="67"/>
  <c r="E369" i="67"/>
  <c r="C375" i="67"/>
  <c r="A372" i="67"/>
  <c r="C376" i="67"/>
  <c r="C374" i="67"/>
  <c r="A373" i="67"/>
  <c r="A371" i="67"/>
  <c r="B374" i="67"/>
  <c r="C372" i="67"/>
  <c r="A374" i="67"/>
  <c r="B369" i="67"/>
  <c r="G376" i="67" s="1"/>
  <c r="A375" i="67"/>
  <c r="A370" i="67"/>
  <c r="B372" i="67"/>
  <c r="C373" i="67"/>
  <c r="A6" i="65"/>
  <c r="C385" i="67" l="1"/>
  <c r="C383" i="67"/>
  <c r="A381" i="67"/>
  <c r="A382" i="67"/>
  <c r="B378" i="67"/>
  <c r="G385" i="67" s="1"/>
  <c r="B383" i="67"/>
  <c r="B380" i="67"/>
  <c r="A385" i="67"/>
  <c r="B382" i="67"/>
  <c r="E378" i="67"/>
  <c r="C384" i="67"/>
  <c r="A379" i="67"/>
  <c r="B385" i="67"/>
  <c r="A383" i="67"/>
  <c r="C382" i="67"/>
  <c r="A384" i="67"/>
  <c r="C381" i="67"/>
  <c r="B381" i="67"/>
  <c r="A378" i="67"/>
  <c r="B384" i="67"/>
  <c r="A380" i="67"/>
  <c r="A12" i="65"/>
  <c r="D4" i="65"/>
  <c r="G3" i="65"/>
  <c r="B14" i="65"/>
  <c r="E7" i="65"/>
  <c r="C14" i="65"/>
  <c r="A13" i="65"/>
  <c r="A10" i="65"/>
  <c r="B13" i="65"/>
  <c r="B11" i="65"/>
  <c r="A14" i="65"/>
  <c r="A15" i="65"/>
  <c r="A17" i="65" s="1"/>
  <c r="E16" i="65"/>
  <c r="A18" i="65"/>
  <c r="B12" i="65"/>
  <c r="C13" i="65"/>
  <c r="A8" i="65"/>
  <c r="B10" i="65"/>
  <c r="C11" i="65"/>
  <c r="C12" i="65"/>
  <c r="A7" i="65"/>
  <c r="A9" i="65"/>
  <c r="C10" i="65"/>
  <c r="B7" i="65"/>
  <c r="G14" i="65" s="1"/>
  <c r="B9" i="65"/>
  <c r="A11" i="65"/>
  <c r="A83" i="67" l="1"/>
  <c r="A23" i="65"/>
  <c r="A20" i="65"/>
  <c r="A21" i="65"/>
  <c r="B20" i="65"/>
  <c r="B16" i="65"/>
  <c r="G23" i="65" s="1"/>
  <c r="B23" i="65"/>
  <c r="A24" i="65"/>
  <c r="C22" i="65"/>
  <c r="C23" i="65"/>
  <c r="B22" i="65"/>
  <c r="A16" i="65"/>
  <c r="C21" i="65"/>
  <c r="C20" i="65"/>
  <c r="B18" i="65"/>
  <c r="C19" i="65"/>
  <c r="B19" i="65"/>
  <c r="A19" i="65"/>
  <c r="B21" i="65"/>
  <c r="A22" i="65"/>
  <c r="B32" i="65" l="1"/>
  <c r="C31" i="65"/>
  <c r="A30" i="65"/>
  <c r="A28" i="65"/>
  <c r="B25" i="65"/>
  <c r="G32" i="65" s="1"/>
  <c r="A25" i="65"/>
  <c r="C32" i="65"/>
  <c r="A27" i="65"/>
  <c r="A32" i="65"/>
  <c r="C28" i="65"/>
  <c r="A33" i="65"/>
  <c r="B31" i="65"/>
  <c r="B29" i="65"/>
  <c r="B27" i="65"/>
  <c r="C30" i="65"/>
  <c r="A29" i="65"/>
  <c r="B30" i="65"/>
  <c r="E25" i="65"/>
  <c r="A26" i="65"/>
  <c r="B28" i="65"/>
  <c r="C29" i="65"/>
  <c r="A31" i="65"/>
  <c r="A91" i="67" l="1"/>
  <c r="A90" i="67"/>
  <c r="C87" i="67"/>
  <c r="G80" i="67"/>
  <c r="B89" i="67"/>
  <c r="E84" i="67"/>
  <c r="B86" i="67"/>
  <c r="A86" i="67"/>
  <c r="A88" i="67"/>
  <c r="C89" i="67"/>
  <c r="A85" i="67"/>
  <c r="B91" i="67"/>
  <c r="A89" i="67"/>
  <c r="B84" i="67"/>
  <c r="G91" i="67" s="1"/>
  <c r="C90" i="67"/>
  <c r="A87" i="67"/>
  <c r="B87" i="67"/>
  <c r="A84" i="67"/>
  <c r="B90" i="67"/>
  <c r="B88" i="67"/>
  <c r="C88" i="67"/>
  <c r="C91" i="67"/>
  <c r="D81" i="67"/>
  <c r="C41" i="65"/>
  <c r="A42" i="65"/>
  <c r="B37" i="65"/>
  <c r="C37" i="65"/>
  <c r="B39" i="65"/>
  <c r="B38" i="65"/>
  <c r="C38" i="65"/>
  <c r="A40" i="65"/>
  <c r="B34" i="65"/>
  <c r="G41" i="65" s="1"/>
  <c r="C40" i="65"/>
  <c r="C39" i="65"/>
  <c r="A36" i="65"/>
  <c r="B41" i="65"/>
  <c r="B36" i="65"/>
  <c r="E34" i="65"/>
  <c r="A41" i="65"/>
  <c r="A39" i="65"/>
  <c r="A34" i="65"/>
  <c r="A38" i="65"/>
  <c r="A37" i="65"/>
  <c r="A35" i="65"/>
  <c r="B40" i="65"/>
  <c r="C50" i="65" l="1"/>
  <c r="A51" i="65"/>
  <c r="A65" i="65" s="1"/>
  <c r="B43" i="65"/>
  <c r="G50" i="65" s="1"/>
  <c r="C49" i="65"/>
  <c r="C48" i="65"/>
  <c r="C47" i="65"/>
  <c r="A45" i="65"/>
  <c r="B45" i="65"/>
  <c r="E43" i="65"/>
  <c r="A50" i="65"/>
  <c r="A49" i="65"/>
  <c r="C46" i="65"/>
  <c r="A47" i="65"/>
  <c r="A46" i="65"/>
  <c r="A44" i="65"/>
  <c r="B50" i="65"/>
  <c r="A48" i="65"/>
  <c r="B48" i="65"/>
  <c r="B47" i="65"/>
  <c r="B46" i="65"/>
  <c r="A43" i="65"/>
  <c r="B49" i="65"/>
  <c r="G62" i="65" l="1"/>
  <c r="A66" i="65"/>
  <c r="A67" i="65"/>
  <c r="A68" i="65"/>
  <c r="B66" i="65"/>
  <c r="G73" i="65" s="1"/>
  <c r="E66" i="65"/>
  <c r="D63" i="65"/>
  <c r="B68" i="65"/>
  <c r="C59" i="65"/>
  <c r="B55" i="65"/>
  <c r="A54" i="65"/>
  <c r="B54" i="65"/>
  <c r="E52" i="65"/>
  <c r="A59" i="65"/>
  <c r="C56" i="65"/>
  <c r="A57" i="65"/>
  <c r="A56" i="65"/>
  <c r="A55" i="65"/>
  <c r="A53" i="65"/>
  <c r="A58" i="65"/>
  <c r="B58" i="65"/>
  <c r="B57" i="65"/>
  <c r="B56" i="65"/>
  <c r="A52" i="65"/>
  <c r="B59" i="65"/>
  <c r="B52" i="65"/>
  <c r="G59" i="65" s="1"/>
  <c r="C58" i="65"/>
  <c r="C57" i="65"/>
  <c r="C55" i="65"/>
  <c r="A72" i="65" l="1"/>
  <c r="C70" i="65"/>
  <c r="A73" i="65"/>
  <c r="B73" i="65"/>
  <c r="B69" i="65"/>
  <c r="A71" i="65"/>
  <c r="A74" i="65"/>
  <c r="B72" i="65"/>
  <c r="A70" i="65"/>
  <c r="A69" i="65"/>
  <c r="C73" i="65"/>
  <c r="B71" i="65"/>
  <c r="B70" i="65"/>
  <c r="C69" i="65"/>
  <c r="C72" i="65"/>
  <c r="C71" i="65"/>
  <c r="I15" i="29"/>
  <c r="N15" i="29" s="1"/>
  <c r="I19" i="29"/>
  <c r="N19" i="29" s="1"/>
  <c r="I22" i="29"/>
  <c r="N22" i="29" s="1"/>
  <c r="I26" i="29"/>
  <c r="N26" i="29" s="1"/>
  <c r="I35" i="29"/>
  <c r="N35" i="29" s="1"/>
  <c r="I39" i="29"/>
  <c r="N39" i="29" s="1"/>
  <c r="N40" i="29"/>
  <c r="I41" i="29"/>
  <c r="N41" i="29" s="1"/>
  <c r="I42" i="29"/>
  <c r="N42" i="29" s="1"/>
  <c r="I43" i="29"/>
  <c r="N43" i="29" s="1"/>
  <c r="I44" i="29"/>
  <c r="N44" i="29" s="1"/>
  <c r="I45" i="29"/>
  <c r="N45" i="29" s="1"/>
  <c r="I46" i="29"/>
  <c r="N46" i="29" s="1"/>
  <c r="I47" i="29"/>
  <c r="N47" i="29" s="1"/>
  <c r="I48" i="29"/>
  <c r="N48" i="29" s="1"/>
  <c r="I49" i="29"/>
  <c r="N49" i="29" s="1"/>
  <c r="I50" i="29"/>
  <c r="N50" i="29" s="1"/>
  <c r="I51" i="29"/>
  <c r="N51" i="29" s="1"/>
  <c r="I52" i="29"/>
  <c r="N52" i="29" s="1"/>
  <c r="I53" i="29"/>
  <c r="N53" i="29" s="1"/>
  <c r="I54" i="29"/>
  <c r="N54" i="29" s="1"/>
  <c r="I55" i="29"/>
  <c r="N55" i="29" s="1"/>
  <c r="I56" i="29"/>
  <c r="N56" i="29" s="1"/>
  <c r="I57" i="29"/>
  <c r="N57" i="29" s="1"/>
  <c r="I58" i="29"/>
  <c r="N58" i="29" s="1"/>
  <c r="I59" i="29"/>
  <c r="N59" i="29" s="1"/>
  <c r="I60" i="29"/>
  <c r="N60" i="29" s="1"/>
  <c r="I61" i="29"/>
  <c r="N61" i="29" s="1"/>
  <c r="I62" i="29"/>
  <c r="N62" i="29" s="1"/>
  <c r="C79" i="65" l="1"/>
  <c r="B78" i="65"/>
  <c r="C80" i="65"/>
  <c r="C81" i="65"/>
  <c r="E75" i="65"/>
  <c r="C78" i="65"/>
  <c r="A82" i="65"/>
  <c r="A83" i="65"/>
  <c r="B77" i="65"/>
  <c r="A80" i="65"/>
  <c r="B82" i="65"/>
  <c r="A76" i="65"/>
  <c r="B79" i="65"/>
  <c r="B80" i="65"/>
  <c r="B81" i="65"/>
  <c r="C82" i="65"/>
  <c r="A81" i="65"/>
  <c r="A75" i="65"/>
  <c r="A78" i="65"/>
  <c r="A79" i="65"/>
  <c r="B75" i="65"/>
  <c r="G82" i="65" s="1"/>
  <c r="A77" i="65"/>
  <c r="P62" i="29"/>
  <c r="P58" i="29"/>
  <c r="P54" i="29"/>
  <c r="P56" i="29"/>
  <c r="P61" i="29"/>
  <c r="P57" i="29"/>
  <c r="P60" i="29"/>
  <c r="P59" i="29"/>
  <c r="P55" i="29"/>
  <c r="P50" i="29"/>
  <c r="P46" i="29"/>
  <c r="P42" i="29"/>
  <c r="P35" i="29"/>
  <c r="P15" i="29"/>
  <c r="P53" i="29"/>
  <c r="P49" i="29"/>
  <c r="P41" i="29"/>
  <c r="P26" i="29"/>
  <c r="P52" i="29"/>
  <c r="P48" i="29"/>
  <c r="P44" i="29"/>
  <c r="P40" i="29"/>
  <c r="P22" i="29"/>
  <c r="P51" i="29"/>
  <c r="P47" i="29"/>
  <c r="P43" i="29"/>
  <c r="P39" i="29"/>
  <c r="P19" i="29"/>
  <c r="P45" i="29"/>
  <c r="O2" i="29"/>
  <c r="C87" i="65" l="1"/>
  <c r="A90" i="65"/>
  <c r="A84" i="65"/>
  <c r="A87" i="65"/>
  <c r="C90" i="65"/>
  <c r="C91" i="65"/>
  <c r="A86" i="65"/>
  <c r="C88" i="65"/>
  <c r="A91" i="65"/>
  <c r="A88" i="65"/>
  <c r="E84" i="65"/>
  <c r="B90" i="65"/>
  <c r="B84" i="65"/>
  <c r="G91" i="65" s="1"/>
  <c r="B87" i="65"/>
  <c r="C89" i="65"/>
  <c r="A92" i="65"/>
  <c r="B89" i="65"/>
  <c r="A89" i="65"/>
  <c r="B91" i="65"/>
  <c r="A85" i="65"/>
  <c r="B88" i="65"/>
  <c r="B86" i="65"/>
  <c r="AJ11" i="29"/>
  <c r="K5" i="29" s="1"/>
  <c r="AJ10" i="29"/>
  <c r="AI10" i="29"/>
  <c r="X13" i="29"/>
  <c r="V13" i="29"/>
  <c r="H12" i="53"/>
  <c r="H19" i="53"/>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14" i="29"/>
  <c r="Q40" i="29"/>
  <c r="Q41" i="29"/>
  <c r="Q43" i="29"/>
  <c r="Q44" i="29"/>
  <c r="Q45" i="29"/>
  <c r="Q46" i="29"/>
  <c r="Q47" i="29"/>
  <c r="Q48" i="29"/>
  <c r="Q49" i="29"/>
  <c r="Q50" i="29"/>
  <c r="Q51" i="29"/>
  <c r="Q52" i="29"/>
  <c r="Q53" i="29"/>
  <c r="Q54" i="29"/>
  <c r="Q55" i="29"/>
  <c r="Q56" i="29"/>
  <c r="Q57" i="29"/>
  <c r="Q58" i="29"/>
  <c r="Q59" i="29"/>
  <c r="Q60" i="29"/>
  <c r="Q61" i="29"/>
  <c r="Q62" i="29"/>
  <c r="Q63" i="29"/>
  <c r="H51" i="53"/>
  <c r="W60" i="53"/>
  <c r="T60" i="53"/>
  <c r="Q60" i="53"/>
  <c r="N60" i="53"/>
  <c r="K60" i="53"/>
  <c r="I64" i="29"/>
  <c r="M64" i="29" s="1"/>
  <c r="H48" i="53"/>
  <c r="H11" i="53"/>
  <c r="Q15" i="29" s="1"/>
  <c r="H13" i="53"/>
  <c r="H29" i="53"/>
  <c r="H14" i="53"/>
  <c r="H15" i="53"/>
  <c r="H16" i="53"/>
  <c r="H17" i="53"/>
  <c r="H30" i="53"/>
  <c r="H18" i="53"/>
  <c r="H31" i="53"/>
  <c r="H20" i="53"/>
  <c r="Q23" i="29"/>
  <c r="I23" i="29" s="1"/>
  <c r="N23" i="29" s="1"/>
  <c r="H22" i="53"/>
  <c r="H23" i="53"/>
  <c r="H24" i="53"/>
  <c r="H25" i="53"/>
  <c r="H33" i="53"/>
  <c r="H32" i="53"/>
  <c r="H26" i="53"/>
  <c r="H27" i="53"/>
  <c r="H21" i="53"/>
  <c r="H28" i="53"/>
  <c r="H34" i="53"/>
  <c r="H42" i="53"/>
  <c r="H43" i="53"/>
  <c r="H44" i="53"/>
  <c r="H45" i="53"/>
  <c r="H46" i="53"/>
  <c r="H47" i="53"/>
  <c r="H49" i="53"/>
  <c r="H50" i="53"/>
  <c r="H52" i="53"/>
  <c r="H53" i="53"/>
  <c r="H54" i="53"/>
  <c r="H55" i="53"/>
  <c r="H56" i="53"/>
  <c r="H57" i="53"/>
  <c r="H58" i="53"/>
  <c r="H59" i="53"/>
  <c r="H10" i="53"/>
  <c r="AC63" i="29"/>
  <c r="I63" i="29"/>
  <c r="N63" i="29" s="1"/>
  <c r="AC62" i="29"/>
  <c r="AC61" i="29"/>
  <c r="AD61" i="29" s="1"/>
  <c r="AC60" i="29"/>
  <c r="AD60" i="29" s="1"/>
  <c r="AC59" i="29"/>
  <c r="AC58" i="29"/>
  <c r="AC57" i="29"/>
  <c r="AD57" i="29" s="1"/>
  <c r="AC56" i="29"/>
  <c r="AD56" i="29" s="1"/>
  <c r="AC55" i="29"/>
  <c r="AC54" i="29"/>
  <c r="AC53" i="29"/>
  <c r="AD53" i="29" s="1"/>
  <c r="AC52" i="29"/>
  <c r="AD52" i="29" s="1"/>
  <c r="AC51" i="29"/>
  <c r="AC50" i="29"/>
  <c r="AC49" i="29"/>
  <c r="AD49" i="29" s="1"/>
  <c r="AC48" i="29"/>
  <c r="AD48" i="29" s="1"/>
  <c r="AC47" i="29"/>
  <c r="AC46" i="29"/>
  <c r="AC45" i="29"/>
  <c r="AD45" i="29" s="1"/>
  <c r="AC44" i="29"/>
  <c r="AD44" i="29" s="1"/>
  <c r="AC43" i="29"/>
  <c r="AC42" i="29"/>
  <c r="AC41" i="29"/>
  <c r="AD41" i="29" s="1"/>
  <c r="AC40" i="29"/>
  <c r="AD40" i="29" s="1"/>
  <c r="AC39" i="29"/>
  <c r="AC38" i="29"/>
  <c r="AC37" i="29"/>
  <c r="AD37" i="29" s="1"/>
  <c r="AC36" i="29"/>
  <c r="AD36" i="29" s="1"/>
  <c r="AC35" i="29"/>
  <c r="AC34" i="29"/>
  <c r="AC33" i="29"/>
  <c r="AC32" i="29"/>
  <c r="AD32" i="29" s="1"/>
  <c r="AC31" i="29"/>
  <c r="AC30" i="29"/>
  <c r="AC29" i="29"/>
  <c r="AD29" i="29" s="1"/>
  <c r="AC28" i="29"/>
  <c r="AD28" i="29" s="1"/>
  <c r="AC27" i="29"/>
  <c r="AD27" i="29" s="1"/>
  <c r="AC26" i="29"/>
  <c r="AC25" i="29"/>
  <c r="AC24" i="29"/>
  <c r="AC23" i="29"/>
  <c r="AC22" i="29"/>
  <c r="AC21" i="29"/>
  <c r="AC20" i="29"/>
  <c r="AD20" i="29" s="1"/>
  <c r="AC19" i="29"/>
  <c r="AD19" i="29" s="1"/>
  <c r="AC18" i="29"/>
  <c r="AC17" i="29"/>
  <c r="AD17" i="29" s="1"/>
  <c r="AC16" i="29"/>
  <c r="AD16" i="29" s="1"/>
  <c r="AC15" i="29"/>
  <c r="AD15" i="29" s="1"/>
  <c r="AC14" i="29"/>
  <c r="AD14" i="29" s="1"/>
  <c r="AA13" i="29"/>
  <c r="AA4" i="29"/>
  <c r="Z13" i="29"/>
  <c r="Z3" i="29"/>
  <c r="Y13" i="29"/>
  <c r="Y4" i="29"/>
  <c r="X4" i="29"/>
  <c r="W13" i="29"/>
  <c r="W4" i="29"/>
  <c r="V4" i="29"/>
  <c r="U13" i="29"/>
  <c r="U3" i="29"/>
  <c r="T13" i="29"/>
  <c r="T4" i="29"/>
  <c r="S13" i="29"/>
  <c r="S4" i="29"/>
  <c r="R13" i="29"/>
  <c r="R3" i="29"/>
  <c r="Z4" i="29"/>
  <c r="R4" i="29"/>
  <c r="AA3" i="29"/>
  <c r="X3" i="29"/>
  <c r="W3" i="29"/>
  <c r="T3" i="29"/>
  <c r="S3" i="29"/>
  <c r="J64" i="29"/>
  <c r="U4" i="29"/>
  <c r="V3" i="29"/>
  <c r="Y3" i="29"/>
  <c r="AD22" i="29" l="1"/>
  <c r="O22" i="29" s="1"/>
  <c r="AD30" i="29"/>
  <c r="O30" i="29" s="1"/>
  <c r="AD38" i="29"/>
  <c r="O38" i="29" s="1"/>
  <c r="AD46" i="29"/>
  <c r="O46" i="29" s="1"/>
  <c r="AD54" i="29"/>
  <c r="O54" i="29" s="1"/>
  <c r="AD62" i="29"/>
  <c r="O62" i="29" s="1"/>
  <c r="AD23" i="29"/>
  <c r="O23" i="29" s="1"/>
  <c r="AD31" i="29"/>
  <c r="O31" i="29" s="1"/>
  <c r="AD39" i="29"/>
  <c r="O39" i="29" s="1"/>
  <c r="AD47" i="29"/>
  <c r="O47" i="29" s="1"/>
  <c r="AD55" i="29"/>
  <c r="O55" i="29" s="1"/>
  <c r="AD59" i="29"/>
  <c r="O59" i="29" s="1"/>
  <c r="AD24" i="29"/>
  <c r="O24" i="29" s="1"/>
  <c r="AD63" i="29"/>
  <c r="O63" i="29" s="1"/>
  <c r="AD26" i="29"/>
  <c r="O26" i="29" s="1"/>
  <c r="AD34" i="29"/>
  <c r="O34" i="29" s="1"/>
  <c r="AD42" i="29"/>
  <c r="O42" i="29" s="1"/>
  <c r="AD50" i="29"/>
  <c r="O50" i="29" s="1"/>
  <c r="AD58" i="29"/>
  <c r="O58" i="29" s="1"/>
  <c r="AD35" i="29"/>
  <c r="O35" i="29" s="1"/>
  <c r="AD43" i="29"/>
  <c r="O43" i="29" s="1"/>
  <c r="AD51" i="29"/>
  <c r="O51" i="29" s="1"/>
  <c r="AD21" i="29"/>
  <c r="O21" i="29" s="1"/>
  <c r="AD25" i="29"/>
  <c r="O25" i="29" s="1"/>
  <c r="O14" i="29"/>
  <c r="O16" i="29"/>
  <c r="O20" i="29"/>
  <c r="O32" i="29"/>
  <c r="O36" i="29"/>
  <c r="O40" i="29"/>
  <c r="O44" i="29"/>
  <c r="O48" i="29"/>
  <c r="O52" i="29"/>
  <c r="O56" i="29"/>
  <c r="O60" i="29"/>
  <c r="O15" i="29"/>
  <c r="O19" i="29"/>
  <c r="O27" i="29"/>
  <c r="O17" i="29"/>
  <c r="O29" i="29"/>
  <c r="O37" i="29"/>
  <c r="O41" i="29"/>
  <c r="O45" i="29"/>
  <c r="O49" i="29"/>
  <c r="O53" i="29"/>
  <c r="O57" i="29"/>
  <c r="O61" i="29"/>
  <c r="Q42" i="29"/>
  <c r="Q39" i="29"/>
  <c r="B98" i="65"/>
  <c r="C100" i="65"/>
  <c r="A95" i="65"/>
  <c r="C97" i="65"/>
  <c r="A100" i="65"/>
  <c r="A97" i="65"/>
  <c r="B99" i="65"/>
  <c r="B93" i="65"/>
  <c r="G100" i="65" s="1"/>
  <c r="B96" i="65"/>
  <c r="C98" i="65"/>
  <c r="A101" i="65"/>
  <c r="B95" i="65"/>
  <c r="A98" i="65"/>
  <c r="B100" i="65"/>
  <c r="A94" i="65"/>
  <c r="B97" i="65"/>
  <c r="C99" i="65"/>
  <c r="E93" i="65"/>
  <c r="C96" i="65"/>
  <c r="A99" i="65"/>
  <c r="A93" i="65"/>
  <c r="A96" i="65"/>
  <c r="P63" i="29"/>
  <c r="F40" i="29"/>
  <c r="J40" i="29" s="1"/>
  <c r="AB40" i="29" s="1"/>
  <c r="AE50" i="29"/>
  <c r="F52" i="29"/>
  <c r="J52" i="29" s="1"/>
  <c r="AB52" i="29" s="1"/>
  <c r="AE35" i="29"/>
  <c r="AE15" i="29"/>
  <c r="AE39" i="29"/>
  <c r="F43" i="29"/>
  <c r="AE45" i="29"/>
  <c r="F49" i="29"/>
  <c r="J49" i="29" s="1"/>
  <c r="AB49" i="29" s="1"/>
  <c r="F51" i="29"/>
  <c r="J51" i="29" s="1"/>
  <c r="AB51" i="29" s="1"/>
  <c r="AE57" i="29"/>
  <c r="F63" i="29"/>
  <c r="J63" i="29" s="1"/>
  <c r="AB63" i="29" s="1"/>
  <c r="Q14" i="29"/>
  <c r="I14" i="29" s="1"/>
  <c r="N14" i="29" s="1"/>
  <c r="Q20" i="29"/>
  <c r="Q34" i="29"/>
  <c r="I34" i="29" s="1"/>
  <c r="N34" i="29" s="1"/>
  <c r="Q17" i="29"/>
  <c r="I17" i="29" s="1"/>
  <c r="N17" i="29" s="1"/>
  <c r="Q16" i="29"/>
  <c r="I16" i="29" s="1"/>
  <c r="N16" i="29" s="1"/>
  <c r="Q25" i="29"/>
  <c r="Q24" i="29"/>
  <c r="I24" i="29" s="1"/>
  <c r="N24" i="29" s="1"/>
  <c r="Q18" i="29"/>
  <c r="Q38" i="29"/>
  <c r="Q22" i="29"/>
  <c r="Q28" i="29"/>
  <c r="Q30" i="29"/>
  <c r="Q35" i="29"/>
  <c r="Q31" i="29"/>
  <c r="I31" i="29" s="1"/>
  <c r="N31" i="29" s="1"/>
  <c r="Q37" i="29"/>
  <c r="Q27" i="29"/>
  <c r="Q29" i="29"/>
  <c r="AE47" i="29"/>
  <c r="F57" i="29"/>
  <c r="J57" i="29" s="1"/>
  <c r="AB57" i="29" s="1"/>
  <c r="C1" i="29"/>
  <c r="F54" i="29"/>
  <c r="J54" i="29" s="1"/>
  <c r="AB54" i="29" s="1"/>
  <c r="AE54" i="29"/>
  <c r="Q32" i="29"/>
  <c r="AE58" i="29"/>
  <c r="Q19" i="29"/>
  <c r="H7" i="53"/>
  <c r="Q33" i="29"/>
  <c r="F35" i="29"/>
  <c r="J35" i="29" s="1"/>
  <c r="AB35" i="29" s="1"/>
  <c r="Q21" i="29"/>
  <c r="I21" i="29" s="1"/>
  <c r="N21" i="29" s="1"/>
  <c r="H60" i="53"/>
  <c r="Q36" i="29"/>
  <c r="Q26" i="29"/>
  <c r="AE55" i="29"/>
  <c r="K1" i="29"/>
  <c r="F62" i="29"/>
  <c r="J62" i="29" s="1"/>
  <c r="AB62" i="29" s="1"/>
  <c r="F59" i="29"/>
  <c r="J59" i="29" s="1"/>
  <c r="AB59" i="29" s="1"/>
  <c r="AE53" i="29"/>
  <c r="F53" i="29"/>
  <c r="J53" i="29" s="1"/>
  <c r="AB53" i="29" s="1"/>
  <c r="F22" i="29"/>
  <c r="C22" i="29" s="1"/>
  <c r="AE22" i="29"/>
  <c r="F58" i="29"/>
  <c r="F15" i="29"/>
  <c r="J15" i="29" s="1"/>
  <c r="AB15" i="29" s="1"/>
  <c r="AE56" i="29"/>
  <c r="AE42" i="29"/>
  <c r="AE48" i="29"/>
  <c r="F48" i="29"/>
  <c r="F61" i="29"/>
  <c r="AE61" i="29"/>
  <c r="F44" i="29"/>
  <c r="AE44" i="29"/>
  <c r="E64" i="29"/>
  <c r="AB64" i="29"/>
  <c r="C64" i="29"/>
  <c r="P64" i="29"/>
  <c r="L64" i="29"/>
  <c r="AE41" i="29"/>
  <c r="F41" i="29"/>
  <c r="AE43" i="29"/>
  <c r="F39" i="29"/>
  <c r="AE49" i="29"/>
  <c r="AE62" i="29"/>
  <c r="F42" i="29"/>
  <c r="F50" i="29"/>
  <c r="AE51" i="29"/>
  <c r="AE59" i="29"/>
  <c r="AE52" i="29"/>
  <c r="AE60" i="29"/>
  <c r="F60" i="29"/>
  <c r="F45" i="29"/>
  <c r="F55" i="29"/>
  <c r="AE63" i="29"/>
  <c r="AE40" i="29"/>
  <c r="F46" i="29"/>
  <c r="AE46" i="29"/>
  <c r="F47" i="29"/>
  <c r="F56" i="29"/>
  <c r="F23" i="29"/>
  <c r="AE23" i="29"/>
  <c r="A160" i="67" l="1"/>
  <c r="C107" i="65"/>
  <c r="C108" i="65"/>
  <c r="E102" i="65"/>
  <c r="C105" i="65"/>
  <c r="A108" i="65"/>
  <c r="A102" i="65"/>
  <c r="B106" i="65"/>
  <c r="B107" i="65"/>
  <c r="C109" i="65"/>
  <c r="A104" i="65"/>
  <c r="C106" i="65"/>
  <c r="A105" i="65"/>
  <c r="A106" i="65"/>
  <c r="B108" i="65"/>
  <c r="B102" i="65"/>
  <c r="G109" i="65" s="1"/>
  <c r="B105" i="65"/>
  <c r="A109" i="65"/>
  <c r="A110" i="65"/>
  <c r="A124" i="65" s="1"/>
  <c r="B104" i="65"/>
  <c r="A107" i="65"/>
  <c r="B109" i="65"/>
  <c r="A103" i="65"/>
  <c r="I27" i="29"/>
  <c r="N27" i="29" s="1"/>
  <c r="I30" i="29"/>
  <c r="N30" i="29" s="1"/>
  <c r="I37" i="29"/>
  <c r="N37" i="29" s="1"/>
  <c r="I38" i="29"/>
  <c r="N38" i="29" s="1"/>
  <c r="I32" i="29"/>
  <c r="N32" i="29" s="1"/>
  <c r="I25" i="29"/>
  <c r="N25" i="29" s="1"/>
  <c r="I36" i="29"/>
  <c r="N36" i="29" s="1"/>
  <c r="I33" i="29"/>
  <c r="N33" i="29" s="1"/>
  <c r="I18" i="29"/>
  <c r="N18" i="29" s="1"/>
  <c r="I29" i="29"/>
  <c r="N29" i="29" s="1"/>
  <c r="I28" i="29"/>
  <c r="N28" i="29" s="1"/>
  <c r="I20" i="29"/>
  <c r="N20" i="29" s="1"/>
  <c r="E52" i="29"/>
  <c r="C51" i="29"/>
  <c r="E40" i="29"/>
  <c r="C52" i="29"/>
  <c r="C49" i="29"/>
  <c r="D40" i="29"/>
  <c r="E63" i="29"/>
  <c r="C63" i="29"/>
  <c r="E51" i="29"/>
  <c r="E43" i="29"/>
  <c r="F24" i="29"/>
  <c r="F16" i="29"/>
  <c r="J16" i="29" s="1"/>
  <c r="D49" i="29"/>
  <c r="F19" i="29"/>
  <c r="J19" i="29" s="1"/>
  <c r="AB19" i="29" s="1"/>
  <c r="F34" i="29"/>
  <c r="J34" i="29" s="1"/>
  <c r="AB34" i="29" s="1"/>
  <c r="J43" i="29"/>
  <c r="AB43" i="29" s="1"/>
  <c r="AE26" i="29"/>
  <c r="E49" i="29"/>
  <c r="AE17" i="29"/>
  <c r="F14" i="29"/>
  <c r="AE14" i="29"/>
  <c r="AE34" i="29"/>
  <c r="F17" i="29"/>
  <c r="J17" i="29" s="1"/>
  <c r="AB17" i="29" s="1"/>
  <c r="AE16" i="29"/>
  <c r="AE24" i="29"/>
  <c r="D39" i="29"/>
  <c r="AE31" i="29"/>
  <c r="AE19" i="29"/>
  <c r="E54" i="29"/>
  <c r="F31" i="29"/>
  <c r="J31" i="29" s="1"/>
  <c r="AB31" i="29" s="1"/>
  <c r="D35" i="29"/>
  <c r="Q4" i="29"/>
  <c r="D11" i="29" s="1"/>
  <c r="AJ8" i="29" s="1"/>
  <c r="E35" i="29"/>
  <c r="E57" i="29"/>
  <c r="C54" i="29"/>
  <c r="D54" i="29"/>
  <c r="D57" i="29"/>
  <c r="C57" i="29"/>
  <c r="Q3" i="29"/>
  <c r="C10" i="29" s="1"/>
  <c r="F26" i="29"/>
  <c r="J26" i="29" s="1"/>
  <c r="AB26" i="29" s="1"/>
  <c r="G60" i="53"/>
  <c r="X60" i="53"/>
  <c r="C62" i="29"/>
  <c r="C53" i="29"/>
  <c r="E53" i="29"/>
  <c r="D58" i="29"/>
  <c r="D62" i="29"/>
  <c r="E62" i="29"/>
  <c r="C59" i="29"/>
  <c r="D53" i="29"/>
  <c r="D59" i="29"/>
  <c r="C58" i="29"/>
  <c r="D52" i="29"/>
  <c r="E39" i="29"/>
  <c r="E22" i="29"/>
  <c r="E58" i="29"/>
  <c r="J58" i="29"/>
  <c r="AB58" i="29" s="1"/>
  <c r="D22" i="29"/>
  <c r="J22" i="29"/>
  <c r="AB22" i="29" s="1"/>
  <c r="E48" i="29"/>
  <c r="E42" i="29"/>
  <c r="J42" i="29"/>
  <c r="AB42" i="29" s="1"/>
  <c r="E44" i="29"/>
  <c r="D44" i="29"/>
  <c r="J44" i="29"/>
  <c r="AB44" i="29" s="1"/>
  <c r="C44" i="29"/>
  <c r="J61" i="29"/>
  <c r="AB61" i="29" s="1"/>
  <c r="C61" i="29"/>
  <c r="D42" i="29"/>
  <c r="E41" i="29"/>
  <c r="J39" i="29"/>
  <c r="AB39" i="29" s="1"/>
  <c r="E59" i="29"/>
  <c r="D64" i="29"/>
  <c r="N64" i="29"/>
  <c r="D61" i="29"/>
  <c r="D43" i="29"/>
  <c r="C41" i="29"/>
  <c r="J41" i="29"/>
  <c r="AB41" i="29" s="1"/>
  <c r="E15" i="29"/>
  <c r="E61" i="29"/>
  <c r="D48" i="29"/>
  <c r="J48" i="29"/>
  <c r="AB48" i="29" s="1"/>
  <c r="E47" i="29"/>
  <c r="D47" i="29"/>
  <c r="J47" i="29"/>
  <c r="AB47" i="29" s="1"/>
  <c r="J46" i="29"/>
  <c r="AB46" i="29" s="1"/>
  <c r="D46" i="29"/>
  <c r="E46" i="29"/>
  <c r="D41" i="29"/>
  <c r="E50" i="29"/>
  <c r="J50" i="29"/>
  <c r="AB50" i="29" s="1"/>
  <c r="D50" i="29"/>
  <c r="C50" i="29"/>
  <c r="D56" i="29"/>
  <c r="J56" i="29"/>
  <c r="AB56" i="29" s="1"/>
  <c r="C56" i="29"/>
  <c r="E56" i="29"/>
  <c r="J55" i="29"/>
  <c r="AB55" i="29" s="1"/>
  <c r="D55" i="29"/>
  <c r="C55" i="29"/>
  <c r="E55" i="29"/>
  <c r="J45" i="29"/>
  <c r="AB45" i="29" s="1"/>
  <c r="D45" i="29"/>
  <c r="E45" i="29"/>
  <c r="C45" i="29"/>
  <c r="J23" i="29"/>
  <c r="E60" i="29"/>
  <c r="D60" i="29"/>
  <c r="C60" i="29"/>
  <c r="J60" i="29"/>
  <c r="AB60" i="29" s="1"/>
  <c r="D63" i="29"/>
  <c r="D51" i="29"/>
  <c r="AB23" i="29" l="1"/>
  <c r="C167" i="67"/>
  <c r="D158" i="67"/>
  <c r="A165" i="67"/>
  <c r="A162" i="67"/>
  <c r="B167" i="67"/>
  <c r="A161" i="67"/>
  <c r="B163" i="67"/>
  <c r="A164" i="67"/>
  <c r="E161" i="67"/>
  <c r="A166" i="67"/>
  <c r="B168" i="67"/>
  <c r="B165" i="67"/>
  <c r="B166" i="67"/>
  <c r="B164" i="67"/>
  <c r="C164" i="67"/>
  <c r="A167" i="67"/>
  <c r="A168" i="67"/>
  <c r="C166" i="67"/>
  <c r="C168" i="67"/>
  <c r="A163" i="67"/>
  <c r="C165" i="67"/>
  <c r="B161" i="67"/>
  <c r="G168" i="67" s="1"/>
  <c r="G157" i="67"/>
  <c r="A126" i="65"/>
  <c r="B128" i="65"/>
  <c r="C129" i="65"/>
  <c r="A131" i="65"/>
  <c r="B132" i="65"/>
  <c r="A125" i="65"/>
  <c r="A127" i="65"/>
  <c r="C128" i="65"/>
  <c r="A130" i="65"/>
  <c r="B131" i="65"/>
  <c r="C132" i="65"/>
  <c r="E125" i="65"/>
  <c r="A128" i="65"/>
  <c r="B129" i="65"/>
  <c r="C130" i="65"/>
  <c r="A132" i="65"/>
  <c r="B125" i="65"/>
  <c r="G132" i="65" s="1"/>
  <c r="B127" i="65"/>
  <c r="A129" i="65"/>
  <c r="B130" i="65"/>
  <c r="C131" i="65"/>
  <c r="A133" i="65"/>
  <c r="B114" i="65"/>
  <c r="C116" i="65"/>
  <c r="B116" i="65"/>
  <c r="C118" i="65"/>
  <c r="A113" i="65"/>
  <c r="B118" i="65"/>
  <c r="A112" i="65"/>
  <c r="B115" i="65"/>
  <c r="A115" i="65"/>
  <c r="B117" i="65"/>
  <c r="B111" i="65"/>
  <c r="G118" i="65" s="1"/>
  <c r="A117" i="65"/>
  <c r="A111" i="65"/>
  <c r="A114" i="65"/>
  <c r="B113" i="65"/>
  <c r="A116" i="65"/>
  <c r="C115" i="65"/>
  <c r="A118" i="65"/>
  <c r="C117" i="65"/>
  <c r="E111" i="65"/>
  <c r="C114" i="65"/>
  <c r="J24" i="29"/>
  <c r="AB24" i="29" s="1"/>
  <c r="F37" i="29"/>
  <c r="J37" i="29" s="1"/>
  <c r="AB37" i="29" s="1"/>
  <c r="C43" i="29"/>
  <c r="C35" i="29"/>
  <c r="C48" i="29"/>
  <c r="C47" i="29"/>
  <c r="AE37" i="29"/>
  <c r="AE30" i="29"/>
  <c r="C42" i="29"/>
  <c r="AE36" i="29"/>
  <c r="AE27" i="29"/>
  <c r="F27" i="29"/>
  <c r="J27" i="29" s="1"/>
  <c r="AB27" i="29" s="1"/>
  <c r="F30" i="29"/>
  <c r="J30" i="29" s="1"/>
  <c r="AB30" i="29" s="1"/>
  <c r="F38" i="29"/>
  <c r="AE38" i="29"/>
  <c r="F36" i="29"/>
  <c r="J36" i="29" s="1"/>
  <c r="AB36" i="29" s="1"/>
  <c r="F29" i="29"/>
  <c r="AE25" i="29"/>
  <c r="AE20" i="29"/>
  <c r="F33" i="29"/>
  <c r="J33" i="29" s="1"/>
  <c r="AB33" i="29" s="1"/>
  <c r="F28" i="29"/>
  <c r="J28" i="29" s="1"/>
  <c r="AB28" i="29" s="1"/>
  <c r="F32" i="29"/>
  <c r="J32" i="29" s="1"/>
  <c r="AB32" i="29" s="1"/>
  <c r="AE18" i="29"/>
  <c r="AE28" i="29"/>
  <c r="F18" i="29"/>
  <c r="J18" i="29" s="1"/>
  <c r="AB18" i="29" s="1"/>
  <c r="AE32" i="29"/>
  <c r="AE29" i="29"/>
  <c r="AE33" i="29"/>
  <c r="F20" i="29"/>
  <c r="F25" i="29"/>
  <c r="D14" i="29"/>
  <c r="E19" i="29"/>
  <c r="D19" i="29"/>
  <c r="AB16" i="29"/>
  <c r="J14" i="29"/>
  <c r="C11" i="29"/>
  <c r="D10" i="29"/>
  <c r="E26" i="29"/>
  <c r="D26" i="29"/>
  <c r="AE21" i="29"/>
  <c r="F21" i="29"/>
  <c r="I3" i="29"/>
  <c r="E11" i="29"/>
  <c r="G3" i="29" s="1"/>
  <c r="O28" i="29" l="1"/>
  <c r="AI7" i="29"/>
  <c r="AD11" i="29"/>
  <c r="B134" i="65"/>
  <c r="G141" i="65" s="1"/>
  <c r="B137" i="65"/>
  <c r="C138" i="65"/>
  <c r="A135" i="65"/>
  <c r="B141" i="65"/>
  <c r="A140" i="65"/>
  <c r="C141" i="65"/>
  <c r="A136" i="65"/>
  <c r="B138" i="65"/>
  <c r="C140" i="65"/>
  <c r="B140" i="65"/>
  <c r="A134" i="65"/>
  <c r="A137" i="65"/>
  <c r="B139" i="65"/>
  <c r="A139" i="65"/>
  <c r="A141" i="65"/>
  <c r="E134" i="65"/>
  <c r="A138" i="65"/>
  <c r="C137" i="65"/>
  <c r="C139" i="65"/>
  <c r="A142" i="65"/>
  <c r="B136" i="65"/>
  <c r="D122" i="65"/>
  <c r="G121" i="65"/>
  <c r="J29" i="29"/>
  <c r="AB29" i="29" s="1"/>
  <c r="D29" i="29"/>
  <c r="J25" i="29"/>
  <c r="J20" i="29"/>
  <c r="AB20" i="29" s="1"/>
  <c r="D37" i="29"/>
  <c r="E14" i="29"/>
  <c r="C46" i="29"/>
  <c r="C40" i="29"/>
  <c r="D38" i="29"/>
  <c r="D27" i="29"/>
  <c r="J38" i="29"/>
  <c r="AB38" i="29" s="1"/>
  <c r="D36" i="29"/>
  <c r="D18" i="29"/>
  <c r="AB14" i="29"/>
  <c r="D20" i="29"/>
  <c r="C15" i="29"/>
  <c r="C26" i="29"/>
  <c r="AJ7" i="29"/>
  <c r="D15" i="29"/>
  <c r="C19" i="29"/>
  <c r="J21" i="29"/>
  <c r="AD33" i="29" s="1"/>
  <c r="F3" i="29"/>
  <c r="E10" i="29"/>
  <c r="D17" i="29" l="1"/>
  <c r="D33" i="29"/>
  <c r="D21" i="29"/>
  <c r="P14" i="29"/>
  <c r="C14" i="29"/>
  <c r="AB25" i="29"/>
  <c r="AD18" i="29"/>
  <c r="O18" i="29" s="1"/>
  <c r="D31" i="29"/>
  <c r="O33" i="29"/>
  <c r="D32" i="29"/>
  <c r="D16" i="29"/>
  <c r="A144" i="65"/>
  <c r="B150" i="65"/>
  <c r="C150" i="65"/>
  <c r="E143" i="65"/>
  <c r="A150" i="65"/>
  <c r="B148" i="65"/>
  <c r="C147" i="65"/>
  <c r="A147" i="65"/>
  <c r="B149" i="65"/>
  <c r="A149" i="65"/>
  <c r="A148" i="65"/>
  <c r="C149" i="65"/>
  <c r="C148" i="65"/>
  <c r="B143" i="65"/>
  <c r="G150" i="65" s="1"/>
  <c r="B146" i="65"/>
  <c r="A145" i="65"/>
  <c r="B145" i="65"/>
  <c r="A146" i="65"/>
  <c r="A143" i="65"/>
  <c r="A151" i="65"/>
  <c r="C146" i="65"/>
  <c r="B147" i="65"/>
  <c r="AB21" i="29"/>
  <c r="J3" i="29"/>
  <c r="AF8" i="29" l="1"/>
  <c r="AE8" i="29"/>
  <c r="B152" i="65"/>
  <c r="G159" i="65" s="1"/>
  <c r="C158" i="65"/>
  <c r="A153" i="65"/>
  <c r="A154" i="65"/>
  <c r="C159" i="65"/>
  <c r="B155" i="65"/>
  <c r="B154" i="65"/>
  <c r="A160" i="65"/>
  <c r="C156" i="65"/>
  <c r="C155" i="65"/>
  <c r="E152" i="65"/>
  <c r="A158" i="65"/>
  <c r="A156" i="65"/>
  <c r="A155" i="65"/>
  <c r="B159" i="65"/>
  <c r="A157" i="65"/>
  <c r="B156" i="65"/>
  <c r="B157" i="65"/>
  <c r="C157" i="65"/>
  <c r="A152" i="65"/>
  <c r="B158" i="65"/>
  <c r="A159" i="65"/>
  <c r="G7" i="29"/>
  <c r="AC11" i="29"/>
  <c r="C165" i="65" l="1"/>
  <c r="A163" i="65"/>
  <c r="A169" i="65"/>
  <c r="C166" i="65"/>
  <c r="C168" i="65"/>
  <c r="A167" i="65"/>
  <c r="A166" i="65"/>
  <c r="E161" i="65"/>
  <c r="A168" i="65"/>
  <c r="B161" i="65"/>
  <c r="G168" i="65" s="1"/>
  <c r="A162" i="65"/>
  <c r="B168" i="65"/>
  <c r="B163" i="65"/>
  <c r="A164" i="65"/>
  <c r="C164" i="65"/>
  <c r="A165" i="65"/>
  <c r="B164" i="65"/>
  <c r="A161" i="65"/>
  <c r="B166" i="65"/>
  <c r="B165" i="65"/>
  <c r="B167" i="65"/>
  <c r="C167" i="65"/>
  <c r="D28" i="29"/>
  <c r="B170" i="65" l="1"/>
  <c r="G177" i="65" s="1"/>
  <c r="C176" i="65"/>
  <c r="A171" i="65"/>
  <c r="A172" i="65"/>
  <c r="C177" i="65"/>
  <c r="A176" i="65"/>
  <c r="B174" i="65"/>
  <c r="C175" i="65"/>
  <c r="B175" i="65"/>
  <c r="A170" i="65"/>
  <c r="B176" i="65"/>
  <c r="B173" i="65"/>
  <c r="B172" i="65"/>
  <c r="E170" i="65"/>
  <c r="C174" i="65"/>
  <c r="C173" i="65"/>
  <c r="A173" i="65"/>
  <c r="A174" i="65"/>
  <c r="B177" i="65"/>
  <c r="A175" i="65"/>
  <c r="A177" i="65"/>
  <c r="D23" i="29"/>
  <c r="D25" i="29"/>
  <c r="L7" i="29"/>
  <c r="D30" i="29"/>
  <c r="D34" i="29"/>
  <c r="D24" i="29"/>
  <c r="A183" i="65" l="1"/>
  <c r="L3" i="29"/>
  <c r="D3" i="29"/>
  <c r="A237" i="67" l="1"/>
  <c r="C191" i="65"/>
  <c r="A187" i="65"/>
  <c r="A192" i="65"/>
  <c r="B186" i="65"/>
  <c r="D181" i="65"/>
  <c r="A191" i="65"/>
  <c r="E184" i="65"/>
  <c r="G180" i="65"/>
  <c r="C190" i="65"/>
  <c r="A188" i="65"/>
  <c r="B184" i="65"/>
  <c r="G191" i="65" s="1"/>
  <c r="C189" i="65"/>
  <c r="B189" i="65"/>
  <c r="B188" i="65"/>
  <c r="A190" i="65"/>
  <c r="C187" i="65"/>
  <c r="B187" i="65"/>
  <c r="A184" i="65"/>
  <c r="A185" i="65"/>
  <c r="B191" i="65"/>
  <c r="A189" i="65"/>
  <c r="B190" i="65"/>
  <c r="C188" i="65"/>
  <c r="A186" i="65"/>
  <c r="A245" i="67" l="1"/>
  <c r="A238" i="67"/>
  <c r="C245" i="67"/>
  <c r="C243" i="67"/>
  <c r="A241" i="67"/>
  <c r="B245" i="67"/>
  <c r="A240" i="67"/>
  <c r="C241" i="67"/>
  <c r="E238" i="67"/>
  <c r="G234" i="67"/>
  <c r="B238" i="67"/>
  <c r="G245" i="67" s="1"/>
  <c r="A243" i="67"/>
  <c r="B244" i="67"/>
  <c r="A239" i="67"/>
  <c r="B241" i="67"/>
  <c r="C244" i="67"/>
  <c r="A244" i="67"/>
  <c r="B243" i="67"/>
  <c r="B240" i="67"/>
  <c r="C242" i="67"/>
  <c r="D235" i="67"/>
  <c r="A242" i="67"/>
  <c r="B242" i="67"/>
  <c r="A200" i="65"/>
  <c r="A194" i="65"/>
  <c r="B199" i="65"/>
  <c r="A197" i="65"/>
  <c r="B196" i="65"/>
  <c r="A198" i="65"/>
  <c r="A196" i="65"/>
  <c r="A193" i="65"/>
  <c r="B193" i="65"/>
  <c r="G200" i="65" s="1"/>
  <c r="B200" i="65"/>
  <c r="A195" i="65"/>
  <c r="A199" i="65"/>
  <c r="B198" i="65"/>
  <c r="C197" i="65"/>
  <c r="C200" i="65"/>
  <c r="B197" i="65"/>
  <c r="C199" i="65"/>
  <c r="C198" i="65"/>
  <c r="C196" i="65"/>
  <c r="B195" i="65"/>
  <c r="A201" i="65"/>
  <c r="E193" i="65"/>
  <c r="C205" i="65" l="1"/>
  <c r="B206" i="65"/>
  <c r="B204" i="65"/>
  <c r="B205" i="65"/>
  <c r="A210" i="65"/>
  <c r="C209" i="65"/>
  <c r="A204" i="65"/>
  <c r="A205" i="65"/>
  <c r="B209" i="65"/>
  <c r="A203" i="65"/>
  <c r="A206" i="65"/>
  <c r="B208" i="65"/>
  <c r="A202" i="65"/>
  <c r="C208" i="65"/>
  <c r="A208" i="65"/>
  <c r="C207" i="65"/>
  <c r="B202" i="65"/>
  <c r="G209" i="65" s="1"/>
  <c r="A207" i="65"/>
  <c r="A209" i="65"/>
  <c r="B207" i="65"/>
  <c r="C206" i="65"/>
  <c r="E202" i="65"/>
  <c r="A214" i="65" l="1"/>
  <c r="C214" i="65"/>
  <c r="C215" i="65"/>
  <c r="B216" i="65"/>
  <c r="A216" i="65"/>
  <c r="C216" i="65"/>
  <c r="B218" i="65"/>
  <c r="B215" i="65"/>
  <c r="B217" i="65"/>
  <c r="A217" i="65"/>
  <c r="C217" i="65"/>
  <c r="B211" i="65"/>
  <c r="G218" i="65" s="1"/>
  <c r="A218" i="65"/>
  <c r="E211" i="65"/>
  <c r="A213" i="65"/>
  <c r="A212" i="65"/>
  <c r="A215" i="65"/>
  <c r="A211" i="65"/>
  <c r="C218" i="65"/>
  <c r="A219" i="65"/>
  <c r="A228" i="65" s="1"/>
  <c r="A242" i="65" s="1"/>
  <c r="A251" i="65" s="1"/>
  <c r="B213" i="65"/>
  <c r="B214" i="65"/>
  <c r="B258" i="65" l="1"/>
  <c r="B259" i="65"/>
  <c r="C256" i="65"/>
  <c r="A253" i="65"/>
  <c r="C257" i="65"/>
  <c r="A255" i="65"/>
  <c r="A260" i="65"/>
  <c r="C258" i="65"/>
  <c r="B257" i="65"/>
  <c r="A256" i="65"/>
  <c r="B254" i="65"/>
  <c r="A252" i="65"/>
  <c r="C259" i="65"/>
  <c r="A257" i="65"/>
  <c r="C255" i="65"/>
  <c r="A254" i="65"/>
  <c r="A258" i="65"/>
  <c r="B255" i="65"/>
  <c r="A259" i="65"/>
  <c r="B256" i="65"/>
  <c r="B252" i="65"/>
  <c r="G259" i="65" s="1"/>
  <c r="E252" i="65"/>
  <c r="C223" i="65"/>
  <c r="A223" i="65"/>
  <c r="B222" i="65"/>
  <c r="C224" i="65"/>
  <c r="B224" i="65"/>
  <c r="C227" i="65"/>
  <c r="A222" i="65"/>
  <c r="B220" i="65"/>
  <c r="G227" i="65" s="1"/>
  <c r="B223" i="65"/>
  <c r="E220" i="65"/>
  <c r="B226" i="65"/>
  <c r="A220" i="65"/>
  <c r="C226" i="65"/>
  <c r="B227" i="65"/>
  <c r="A221" i="65"/>
  <c r="A224" i="65"/>
  <c r="A225" i="65"/>
  <c r="C225" i="65"/>
  <c r="B225" i="65"/>
  <c r="A226" i="65"/>
  <c r="A227" i="65"/>
  <c r="C268" i="65" l="1"/>
  <c r="A269" i="65"/>
  <c r="B266" i="65"/>
  <c r="B263" i="65"/>
  <c r="B265" i="65"/>
  <c r="C267" i="65"/>
  <c r="B261" i="65"/>
  <c r="G268" i="65" s="1"/>
  <c r="C266" i="65"/>
  <c r="A264" i="65"/>
  <c r="A268" i="65"/>
  <c r="E261" i="65"/>
  <c r="A265" i="65"/>
  <c r="A262" i="65"/>
  <c r="B268" i="65"/>
  <c r="A266" i="65"/>
  <c r="A263" i="65"/>
  <c r="C264" i="65"/>
  <c r="B264" i="65"/>
  <c r="A261" i="65"/>
  <c r="B267" i="65"/>
  <c r="C265" i="65"/>
  <c r="A267" i="65"/>
  <c r="A236" i="65"/>
  <c r="E229" i="65"/>
  <c r="B236" i="65"/>
  <c r="A230" i="65"/>
  <c r="B231" i="65"/>
  <c r="A231" i="65"/>
  <c r="C234" i="65"/>
  <c r="B235" i="65"/>
  <c r="A235" i="65"/>
  <c r="C235" i="65"/>
  <c r="B229" i="65"/>
  <c r="G236" i="65" s="1"/>
  <c r="B233" i="65"/>
  <c r="C232" i="65"/>
  <c r="C233" i="65"/>
  <c r="B234" i="65"/>
  <c r="C236" i="65"/>
  <c r="A232" i="65"/>
  <c r="A229" i="65"/>
  <c r="B232" i="65"/>
  <c r="A233" i="65"/>
  <c r="A234" i="65"/>
  <c r="C276" i="65" l="1"/>
  <c r="A278" i="65"/>
  <c r="E270" i="65"/>
  <c r="A277" i="65"/>
  <c r="A276" i="65"/>
  <c r="C273" i="65"/>
  <c r="B270" i="65"/>
  <c r="G277" i="65" s="1"/>
  <c r="C274" i="65"/>
  <c r="C277" i="65"/>
  <c r="A273" i="65"/>
  <c r="A271" i="65"/>
  <c r="B277" i="65"/>
  <c r="A275" i="65"/>
  <c r="B272" i="65"/>
  <c r="B274" i="65"/>
  <c r="B273" i="65"/>
  <c r="A270" i="65"/>
  <c r="B276" i="65"/>
  <c r="A274" i="65"/>
  <c r="C275" i="65"/>
  <c r="A272" i="65"/>
  <c r="B275" i="65"/>
  <c r="C250" i="65"/>
  <c r="G239" i="65"/>
  <c r="B247" i="65"/>
  <c r="C249" i="65"/>
  <c r="B243" i="65"/>
  <c r="G250" i="65" s="1"/>
  <c r="C248" i="65"/>
  <c r="A246" i="65"/>
  <c r="D240" i="65"/>
  <c r="B248" i="65"/>
  <c r="B245" i="65"/>
  <c r="A250" i="65"/>
  <c r="E243" i="65"/>
  <c r="A247" i="65"/>
  <c r="C247" i="65"/>
  <c r="A245" i="65"/>
  <c r="A248" i="65"/>
  <c r="A243" i="65"/>
  <c r="A249" i="65"/>
  <c r="C246" i="65"/>
  <c r="A244" i="65"/>
  <c r="B250" i="65"/>
  <c r="B246" i="65"/>
  <c r="B249" i="65"/>
  <c r="C286" i="65" l="1"/>
  <c r="A287" i="65"/>
  <c r="A285" i="65"/>
  <c r="A283" i="65"/>
  <c r="B283" i="65"/>
  <c r="A281" i="65"/>
  <c r="B281" i="65"/>
  <c r="B285" i="65"/>
  <c r="A280" i="65"/>
  <c r="B286" i="65"/>
  <c r="B284" i="65"/>
  <c r="C284" i="65"/>
  <c r="C282" i="65"/>
  <c r="B282" i="65"/>
  <c r="B279" i="65"/>
  <c r="G286" i="65" s="1"/>
  <c r="A286" i="65"/>
  <c r="A284" i="65"/>
  <c r="C283" i="65"/>
  <c r="A282" i="65"/>
  <c r="A279" i="65"/>
  <c r="E279" i="65"/>
  <c r="C295" i="65" l="1"/>
  <c r="A301" i="65"/>
  <c r="C293" i="65"/>
  <c r="A294" i="65"/>
  <c r="A293" i="65"/>
  <c r="A292" i="65"/>
  <c r="A290" i="65"/>
  <c r="B291" i="65"/>
  <c r="B290" i="65"/>
  <c r="E288" i="65"/>
  <c r="A295" i="65"/>
  <c r="B295" i="65"/>
  <c r="B294" i="65"/>
  <c r="B293" i="65"/>
  <c r="A291" i="65"/>
  <c r="A289" i="65"/>
  <c r="A288" i="65"/>
  <c r="B288" i="65"/>
  <c r="G295" i="65" s="1"/>
  <c r="C294" i="65"/>
  <c r="B292" i="65"/>
  <c r="C291" i="65"/>
  <c r="C292" i="65"/>
  <c r="A322" i="67" l="1"/>
  <c r="B318" i="67"/>
  <c r="B321" i="67"/>
  <c r="C322" i="67"/>
  <c r="B322" i="67"/>
  <c r="D312" i="67"/>
  <c r="A315" i="67"/>
  <c r="C318" i="67"/>
  <c r="C320" i="67"/>
  <c r="A317" i="67"/>
  <c r="B319" i="67"/>
  <c r="B320" i="67"/>
  <c r="A318" i="67"/>
  <c r="E315" i="67"/>
  <c r="A319" i="67"/>
  <c r="C321" i="67"/>
  <c r="B317" i="67"/>
  <c r="A320" i="67"/>
  <c r="C319" i="67"/>
  <c r="A321" i="67"/>
  <c r="A316" i="67"/>
  <c r="G311" i="67"/>
  <c r="B315" i="67"/>
  <c r="G322" i="67" s="1"/>
  <c r="C309" i="65"/>
  <c r="B302" i="65"/>
  <c r="G309" i="65" s="1"/>
  <c r="E302" i="65"/>
  <c r="A309" i="65"/>
  <c r="A308" i="65"/>
  <c r="A304" i="65"/>
  <c r="A310" i="65"/>
  <c r="C308" i="65"/>
  <c r="C306" i="65"/>
  <c r="B308" i="65"/>
  <c r="B304" i="65"/>
  <c r="A305" i="65"/>
  <c r="A303" i="65"/>
  <c r="B309" i="65"/>
  <c r="C305" i="65"/>
  <c r="B307" i="65"/>
  <c r="B306" i="65"/>
  <c r="B305" i="65"/>
  <c r="A306" i="65"/>
  <c r="A307" i="65"/>
  <c r="C307" i="65"/>
  <c r="A302" i="65"/>
  <c r="G298" i="65"/>
  <c r="D299" i="65"/>
  <c r="A315" i="65" l="1"/>
  <c r="E311" i="65"/>
  <c r="A318" i="65"/>
  <c r="A311" i="65"/>
  <c r="B317" i="65"/>
  <c r="C316" i="65"/>
  <c r="A316" i="65"/>
  <c r="B318" i="65"/>
  <c r="B316" i="65"/>
  <c r="A314" i="65"/>
  <c r="A312" i="65"/>
  <c r="A313" i="65"/>
  <c r="B311" i="65"/>
  <c r="G318" i="65" s="1"/>
  <c r="C317" i="65"/>
  <c r="B315" i="65"/>
  <c r="B314" i="65"/>
  <c r="C314" i="65"/>
  <c r="B313" i="65"/>
  <c r="A317" i="65"/>
  <c r="C315" i="65"/>
  <c r="C318" i="65"/>
  <c r="A319" i="65"/>
  <c r="A321" i="65" l="1"/>
  <c r="A324" i="65"/>
  <c r="E320" i="65"/>
  <c r="B324" i="65"/>
  <c r="B323" i="65"/>
  <c r="C326" i="65"/>
  <c r="A327" i="65"/>
  <c r="A320" i="65"/>
  <c r="A325" i="65"/>
  <c r="A322" i="65"/>
  <c r="B320" i="65"/>
  <c r="G327" i="65" s="1"/>
  <c r="B326" i="65"/>
  <c r="B325" i="65"/>
  <c r="B322" i="65"/>
  <c r="C327" i="65"/>
  <c r="C325" i="65"/>
  <c r="A326" i="65"/>
  <c r="A328" i="65"/>
  <c r="A323" i="65"/>
  <c r="B327" i="65"/>
  <c r="C323" i="65"/>
  <c r="C324" i="65"/>
  <c r="C336" i="65" l="1"/>
  <c r="C335" i="65"/>
  <c r="C334" i="65"/>
  <c r="B332" i="65"/>
  <c r="A330" i="65"/>
  <c r="A335" i="65"/>
  <c r="E329" i="65"/>
  <c r="C332" i="65"/>
  <c r="A336" i="65"/>
  <c r="A333" i="65"/>
  <c r="A337" i="65"/>
  <c r="A329" i="65"/>
  <c r="A334" i="65"/>
  <c r="B336" i="65"/>
  <c r="B333" i="65"/>
  <c r="B329" i="65"/>
  <c r="G336" i="65" s="1"/>
  <c r="B334" i="65"/>
  <c r="B335" i="65"/>
  <c r="C333" i="65"/>
  <c r="A332" i="65"/>
  <c r="B331" i="65"/>
  <c r="A331" i="65"/>
  <c r="C345" i="65" l="1"/>
  <c r="B341" i="65"/>
  <c r="B344" i="65"/>
  <c r="C342" i="65"/>
  <c r="A345" i="65"/>
  <c r="B345" i="65"/>
  <c r="B343" i="65"/>
  <c r="C344" i="65"/>
  <c r="A343" i="65"/>
  <c r="A344" i="65"/>
  <c r="A346" i="65"/>
  <c r="B338" i="65"/>
  <c r="G345" i="65" s="1"/>
  <c r="A339" i="65"/>
  <c r="A342" i="65"/>
  <c r="A338" i="65"/>
  <c r="A340" i="65"/>
  <c r="C341" i="65"/>
  <c r="B340" i="65"/>
  <c r="B342" i="65"/>
  <c r="C343" i="65"/>
  <c r="E338" i="65"/>
  <c r="A341" i="65"/>
  <c r="C353" i="65" l="1"/>
  <c r="C351" i="65"/>
  <c r="A352" i="65"/>
  <c r="A347" i="65"/>
  <c r="B351" i="65"/>
  <c r="C352" i="65"/>
  <c r="B349" i="65"/>
  <c r="A353" i="65"/>
  <c r="A348" i="65"/>
  <c r="A349" i="65"/>
  <c r="C350" i="65"/>
  <c r="B347" i="65"/>
  <c r="G354" i="65" s="1"/>
  <c r="B353" i="65"/>
  <c r="A354" i="65"/>
  <c r="A350" i="65"/>
  <c r="B352" i="65"/>
  <c r="C354" i="65"/>
  <c r="B350" i="65"/>
  <c r="E347" i="65"/>
  <c r="A351" i="65"/>
  <c r="B354" i="65"/>
  <c r="A360" i="65"/>
  <c r="B366" i="65" l="1"/>
  <c r="D358" i="65"/>
  <c r="A368" i="65"/>
  <c r="B361" i="65"/>
  <c r="G368" i="65" s="1"/>
  <c r="C366" i="65"/>
  <c r="A361" i="65"/>
  <c r="A366" i="65"/>
  <c r="B364" i="65"/>
  <c r="B363" i="65"/>
  <c r="A367" i="65"/>
  <c r="E361" i="65"/>
  <c r="C364" i="65"/>
  <c r="A365" i="65"/>
  <c r="A369" i="65"/>
  <c r="B367" i="65"/>
  <c r="G357" i="65"/>
  <c r="C365" i="65"/>
  <c r="A362" i="65"/>
  <c r="A363" i="65"/>
  <c r="B365" i="65"/>
  <c r="C368" i="65"/>
  <c r="C367" i="65"/>
  <c r="B368" i="65"/>
  <c r="A364" i="65"/>
  <c r="A391" i="67" l="1"/>
  <c r="A400" i="67" s="1"/>
  <c r="B372" i="65"/>
  <c r="A374" i="65"/>
  <c r="A378" i="65"/>
  <c r="B377" i="65"/>
  <c r="A375" i="65"/>
  <c r="A376" i="65"/>
  <c r="A370" i="65"/>
  <c r="C375" i="65"/>
  <c r="B376" i="65"/>
  <c r="B375" i="65"/>
  <c r="C376" i="65"/>
  <c r="C377" i="65"/>
  <c r="C373" i="65"/>
  <c r="E370" i="65"/>
  <c r="B370" i="65"/>
  <c r="G377" i="65" s="1"/>
  <c r="A372" i="65"/>
  <c r="C374" i="65"/>
  <c r="A377" i="65"/>
  <c r="B374" i="65"/>
  <c r="B373" i="65"/>
  <c r="A371" i="65"/>
  <c r="A373" i="65"/>
  <c r="C408" i="67" l="1"/>
  <c r="C407" i="67"/>
  <c r="A405" i="67"/>
  <c r="B401" i="67"/>
  <c r="G408" i="67" s="1"/>
  <c r="A408" i="67"/>
  <c r="E401" i="67"/>
  <c r="C406" i="67"/>
  <c r="A404" i="67"/>
  <c r="A409" i="67"/>
  <c r="B406" i="67"/>
  <c r="B403" i="67"/>
  <c r="B405" i="67"/>
  <c r="C405" i="67"/>
  <c r="A403" i="67"/>
  <c r="B408" i="67"/>
  <c r="B404" i="67"/>
  <c r="A401" i="67"/>
  <c r="B407" i="67"/>
  <c r="A407" i="67"/>
  <c r="C404" i="67"/>
  <c r="A402" i="67"/>
  <c r="A406" i="67"/>
  <c r="A399" i="67"/>
  <c r="A396" i="67"/>
  <c r="D389" i="67"/>
  <c r="G388" i="67"/>
  <c r="A392" i="67"/>
  <c r="C395" i="67"/>
  <c r="A395" i="67"/>
  <c r="C399" i="67"/>
  <c r="B399" i="67"/>
  <c r="B394" i="67"/>
  <c r="B396" i="67"/>
  <c r="A393" i="67"/>
  <c r="B395" i="67"/>
  <c r="A394" i="67"/>
  <c r="E392" i="67"/>
  <c r="B397" i="67"/>
  <c r="B392" i="67"/>
  <c r="G399" i="67" s="1"/>
  <c r="A398" i="67"/>
  <c r="C398" i="67"/>
  <c r="C396" i="67"/>
  <c r="B398" i="67"/>
  <c r="A397" i="67"/>
  <c r="C397" i="67"/>
  <c r="E379" i="65"/>
  <c r="A382" i="65"/>
  <c r="A387" i="65"/>
  <c r="B385" i="65"/>
  <c r="A381" i="65"/>
  <c r="A386" i="65"/>
  <c r="A384" i="65"/>
  <c r="C384" i="65"/>
  <c r="B386" i="65"/>
  <c r="B381" i="65"/>
  <c r="A383" i="65"/>
  <c r="C386" i="65"/>
  <c r="C382" i="65"/>
  <c r="A380" i="65"/>
  <c r="B382" i="65"/>
  <c r="B379" i="65"/>
  <c r="G386" i="65" s="1"/>
  <c r="C383" i="65"/>
  <c r="A385" i="65"/>
  <c r="B384" i="65"/>
  <c r="B383" i="65"/>
  <c r="A379" i="65"/>
  <c r="C385" i="65"/>
  <c r="C417" i="67" l="1"/>
  <c r="A417" i="67"/>
  <c r="B414" i="67"/>
  <c r="E410" i="67"/>
  <c r="A418" i="67"/>
  <c r="C416" i="67"/>
  <c r="A414" i="67"/>
  <c r="B410" i="67"/>
  <c r="G417" i="67" s="1"/>
  <c r="C415" i="67"/>
  <c r="A413" i="67"/>
  <c r="B415" i="67"/>
  <c r="B412" i="67"/>
  <c r="A411" i="67"/>
  <c r="B417" i="67"/>
  <c r="A415" i="67"/>
  <c r="A410" i="67"/>
  <c r="A412" i="67"/>
  <c r="A416" i="67"/>
  <c r="C413" i="67"/>
  <c r="B413" i="67"/>
  <c r="B416" i="67"/>
  <c r="C414" i="67"/>
  <c r="B394" i="65"/>
  <c r="B390" i="65"/>
  <c r="C393" i="65"/>
  <c r="A389" i="65"/>
  <c r="A392" i="65"/>
  <c r="B393" i="65"/>
  <c r="B388" i="65"/>
  <c r="G395" i="65" s="1"/>
  <c r="A390" i="65"/>
  <c r="C395" i="65"/>
  <c r="C392" i="65"/>
  <c r="A391" i="65"/>
  <c r="A396" i="65"/>
  <c r="B395" i="65"/>
  <c r="A395" i="65"/>
  <c r="A388" i="65"/>
  <c r="A394" i="65"/>
  <c r="B392" i="65"/>
  <c r="B391" i="65"/>
  <c r="C391" i="65"/>
  <c r="E388" i="65"/>
  <c r="C394" i="65"/>
  <c r="A393" i="65"/>
  <c r="B426" i="67" l="1"/>
  <c r="A426" i="67"/>
  <c r="B424" i="67"/>
  <c r="C422" i="67"/>
  <c r="E419" i="67"/>
  <c r="C426" i="67"/>
  <c r="A423" i="67"/>
  <c r="C425" i="67"/>
  <c r="A424" i="67"/>
  <c r="A422" i="67"/>
  <c r="B419" i="67"/>
  <c r="G426" i="67" s="1"/>
  <c r="A427" i="67"/>
  <c r="B425" i="67"/>
  <c r="B423" i="67"/>
  <c r="B421" i="67"/>
  <c r="A419" i="67"/>
  <c r="C424" i="67"/>
  <c r="A421" i="67"/>
  <c r="A420" i="67"/>
  <c r="A425" i="67"/>
  <c r="B422" i="67"/>
  <c r="C423" i="67"/>
  <c r="B397" i="65"/>
  <c r="G404" i="65" s="1"/>
  <c r="B400" i="65"/>
  <c r="A398" i="65"/>
  <c r="C402" i="65"/>
  <c r="A397" i="65"/>
  <c r="A399" i="65"/>
  <c r="B404" i="65"/>
  <c r="B399" i="65"/>
  <c r="A401" i="65"/>
  <c r="A404" i="65"/>
  <c r="A400" i="65"/>
  <c r="A405" i="65"/>
  <c r="B403" i="65"/>
  <c r="A403" i="65"/>
  <c r="C401" i="65"/>
  <c r="C403" i="65"/>
  <c r="E397" i="65"/>
  <c r="B402" i="65"/>
  <c r="B401" i="65"/>
  <c r="A402" i="65"/>
  <c r="C404" i="65"/>
  <c r="C400" i="65"/>
  <c r="C435" i="67" l="1"/>
  <c r="A436" i="67"/>
  <c r="A431" i="67"/>
  <c r="A435" i="67"/>
  <c r="E428" i="67"/>
  <c r="C433" i="67"/>
  <c r="B432" i="67"/>
  <c r="B433" i="67"/>
  <c r="C432" i="67"/>
  <c r="A430" i="67"/>
  <c r="A429" i="67"/>
  <c r="A433" i="67"/>
  <c r="A432" i="67"/>
  <c r="B431" i="67"/>
  <c r="A428" i="67"/>
  <c r="B434" i="67"/>
  <c r="B428" i="67"/>
  <c r="G435" i="67" s="1"/>
  <c r="C434" i="67"/>
  <c r="A434" i="67"/>
  <c r="C431" i="67"/>
  <c r="B430" i="67"/>
  <c r="B435" i="67"/>
  <c r="A419" i="65"/>
  <c r="B411" i="65"/>
  <c r="C412" i="65"/>
  <c r="A409" i="65"/>
  <c r="C410" i="65"/>
  <c r="A410" i="65"/>
  <c r="B406" i="65"/>
  <c r="G413" i="65" s="1"/>
  <c r="E406" i="65"/>
  <c r="C413" i="65"/>
  <c r="A406" i="65"/>
  <c r="A413" i="65"/>
  <c r="B412" i="65"/>
  <c r="B410" i="65"/>
  <c r="A407" i="65"/>
  <c r="A411" i="65"/>
  <c r="C411" i="65"/>
  <c r="A408" i="65"/>
  <c r="B408" i="65"/>
  <c r="B409" i="65"/>
  <c r="B413" i="65"/>
  <c r="A412" i="65"/>
  <c r="C409" i="65"/>
  <c r="C444" i="67" l="1"/>
  <c r="C442" i="67"/>
  <c r="A445" i="67"/>
  <c r="B441" i="67"/>
  <c r="A440" i="67"/>
  <c r="A444" i="67"/>
  <c r="E437" i="67"/>
  <c r="A441" i="67"/>
  <c r="B440" i="67"/>
  <c r="A437" i="67"/>
  <c r="B443" i="67"/>
  <c r="A443" i="67"/>
  <c r="B439" i="67"/>
  <c r="A438" i="67"/>
  <c r="B444" i="67"/>
  <c r="A442" i="67"/>
  <c r="B442" i="67"/>
  <c r="C441" i="67"/>
  <c r="A439" i="67"/>
  <c r="B437" i="67"/>
  <c r="G444" i="67" s="1"/>
  <c r="C443" i="67"/>
  <c r="C440" i="67"/>
  <c r="C427" i="65"/>
  <c r="E420" i="65"/>
  <c r="A427" i="65"/>
  <c r="A426" i="65"/>
  <c r="C423" i="65"/>
  <c r="B422" i="65"/>
  <c r="C425" i="65"/>
  <c r="B420" i="65"/>
  <c r="G427" i="65" s="1"/>
  <c r="A423" i="65"/>
  <c r="A421" i="65"/>
  <c r="B427" i="65"/>
  <c r="A425" i="65"/>
  <c r="A424" i="65"/>
  <c r="B424" i="65"/>
  <c r="B423" i="65"/>
  <c r="A420" i="65"/>
  <c r="B426" i="65"/>
  <c r="B425" i="65"/>
  <c r="C424" i="65"/>
  <c r="A422" i="65"/>
  <c r="C426" i="65"/>
  <c r="A428" i="65"/>
  <c r="D417" i="65"/>
  <c r="G416" i="65"/>
  <c r="C453" i="67" l="1"/>
  <c r="A454" i="67"/>
  <c r="A449" i="67"/>
  <c r="A453" i="67"/>
  <c r="E446" i="67"/>
  <c r="C451" i="67"/>
  <c r="B450" i="67"/>
  <c r="B448" i="67"/>
  <c r="A447" i="67"/>
  <c r="B453" i="67"/>
  <c r="A451" i="67"/>
  <c r="B451" i="67"/>
  <c r="A448" i="67"/>
  <c r="B446" i="67"/>
  <c r="G453" i="67" s="1"/>
  <c r="C452" i="67"/>
  <c r="A452" i="67"/>
  <c r="C449" i="67"/>
  <c r="A450" i="67"/>
  <c r="B449" i="67"/>
  <c r="A446" i="67"/>
  <c r="B452" i="67"/>
  <c r="C450" i="67"/>
  <c r="B432" i="65"/>
  <c r="B431" i="65"/>
  <c r="A435" i="65"/>
  <c r="A431" i="65"/>
  <c r="B434" i="65"/>
  <c r="B429" i="65"/>
  <c r="G436" i="65" s="1"/>
  <c r="A436" i="65"/>
  <c r="A433" i="65"/>
  <c r="C432" i="65"/>
  <c r="A434" i="65"/>
  <c r="A437" i="65"/>
  <c r="C434" i="65"/>
  <c r="B435" i="65"/>
  <c r="C435" i="65"/>
  <c r="E429" i="65"/>
  <c r="B436" i="65"/>
  <c r="A430" i="65"/>
  <c r="A429" i="65"/>
  <c r="C433" i="65"/>
  <c r="C436" i="65"/>
  <c r="B433" i="65"/>
  <c r="A432" i="65"/>
  <c r="C462" i="67" l="1"/>
  <c r="A468" i="67"/>
  <c r="A477" i="67" s="1"/>
  <c r="C460" i="67"/>
  <c r="A458" i="67"/>
  <c r="C461" i="67"/>
  <c r="B460" i="67"/>
  <c r="B457" i="67"/>
  <c r="A462" i="67"/>
  <c r="B459" i="67"/>
  <c r="E455" i="67"/>
  <c r="A459" i="67"/>
  <c r="B455" i="67"/>
  <c r="G462" i="67" s="1"/>
  <c r="A461" i="67"/>
  <c r="C458" i="67"/>
  <c r="A455" i="67"/>
  <c r="C459" i="67"/>
  <c r="A457" i="67"/>
  <c r="A456" i="67"/>
  <c r="B462" i="67"/>
  <c r="A460" i="67"/>
  <c r="B458" i="67"/>
  <c r="B461" i="67"/>
  <c r="B438" i="65"/>
  <c r="G445" i="65" s="1"/>
  <c r="A442" i="65"/>
  <c r="B445" i="65"/>
  <c r="C445" i="65"/>
  <c r="B444" i="65"/>
  <c r="A444" i="65"/>
  <c r="C442" i="65"/>
  <c r="C444" i="65"/>
  <c r="C443" i="65"/>
  <c r="B440" i="65"/>
  <c r="B443" i="65"/>
  <c r="A439" i="65"/>
  <c r="A443" i="65"/>
  <c r="C441" i="65"/>
  <c r="A438" i="65"/>
  <c r="A445" i="65"/>
  <c r="A440" i="65"/>
  <c r="B441" i="65"/>
  <c r="A441" i="65"/>
  <c r="B442" i="65"/>
  <c r="E438" i="65"/>
  <c r="A446" i="65"/>
  <c r="B485" i="67" l="1"/>
  <c r="B478" i="67"/>
  <c r="G485" i="67" s="1"/>
  <c r="B484" i="67"/>
  <c r="A483" i="67"/>
  <c r="B480" i="67"/>
  <c r="B482" i="67"/>
  <c r="A485" i="67"/>
  <c r="C485" i="67"/>
  <c r="A484" i="67"/>
  <c r="B481" i="67"/>
  <c r="A478" i="67"/>
  <c r="B483" i="67"/>
  <c r="C483" i="67"/>
  <c r="C482" i="67"/>
  <c r="A481" i="67"/>
  <c r="E478" i="67"/>
  <c r="A480" i="67"/>
  <c r="A479" i="67"/>
  <c r="C484" i="67"/>
  <c r="C481" i="67"/>
  <c r="A482" i="67"/>
  <c r="A454" i="65"/>
  <c r="B451" i="65"/>
  <c r="C454" i="65"/>
  <c r="A455" i="65"/>
  <c r="C453" i="65"/>
  <c r="C450" i="65"/>
  <c r="A451" i="65"/>
  <c r="B454" i="65"/>
  <c r="A447" i="65"/>
  <c r="A448" i="65"/>
  <c r="B450" i="65"/>
  <c r="E447" i="65"/>
  <c r="B447" i="65"/>
  <c r="G454" i="65" s="1"/>
  <c r="A449" i="65"/>
  <c r="B449" i="65"/>
  <c r="A452" i="65"/>
  <c r="C451" i="65"/>
  <c r="A450" i="65"/>
  <c r="A453" i="65"/>
  <c r="B453" i="65"/>
  <c r="C452" i="65"/>
  <c r="B452" i="65"/>
  <c r="A476" i="67" l="1"/>
  <c r="C476" i="67"/>
  <c r="G465" i="67"/>
  <c r="C473" i="67"/>
  <c r="A470" i="67"/>
  <c r="C474" i="67"/>
  <c r="C475" i="67"/>
  <c r="A472" i="67"/>
  <c r="A471" i="67"/>
  <c r="B475" i="67"/>
  <c r="C472" i="67"/>
  <c r="B473" i="67"/>
  <c r="E469" i="67"/>
  <c r="A475" i="67"/>
  <c r="B474" i="67"/>
  <c r="B469" i="67"/>
  <c r="G476" i="67" s="1"/>
  <c r="B476" i="67"/>
  <c r="D466" i="67"/>
  <c r="B471" i="67"/>
  <c r="A469" i="67"/>
  <c r="A473" i="67"/>
  <c r="A474" i="67"/>
  <c r="B472" i="67"/>
  <c r="C463" i="65"/>
  <c r="A461" i="65"/>
  <c r="A462" i="65"/>
  <c r="B462" i="65"/>
  <c r="B458" i="65"/>
  <c r="A459" i="65"/>
  <c r="C460" i="65"/>
  <c r="C462" i="65"/>
  <c r="E456" i="65"/>
  <c r="B459" i="65"/>
  <c r="B460" i="65"/>
  <c r="A458" i="65"/>
  <c r="A457" i="65"/>
  <c r="A463" i="65"/>
  <c r="A456" i="65"/>
  <c r="B463" i="65"/>
  <c r="B461" i="65"/>
  <c r="A464" i="65"/>
  <c r="B456" i="65"/>
  <c r="A460" i="65"/>
  <c r="C461" i="65"/>
  <c r="C459" i="65"/>
  <c r="J4" i="67" l="1"/>
  <c r="B472" i="65"/>
  <c r="A467" i="65"/>
  <c r="B469" i="65"/>
  <c r="E465" i="65"/>
  <c r="B465" i="65"/>
  <c r="G472" i="65" s="1"/>
  <c r="A478" i="65"/>
  <c r="A468" i="65"/>
  <c r="A471" i="65"/>
  <c r="C472" i="65"/>
  <c r="A470" i="65"/>
  <c r="A465" i="65"/>
  <c r="C470" i="65"/>
  <c r="A466" i="65"/>
  <c r="C469" i="65"/>
  <c r="C468" i="65"/>
  <c r="B467" i="65"/>
  <c r="B471" i="65"/>
  <c r="C471" i="65"/>
  <c r="B468" i="65"/>
  <c r="A469" i="65"/>
  <c r="A472" i="65"/>
  <c r="B470" i="65"/>
  <c r="L4" i="67" l="1"/>
  <c r="K4" i="67" s="1"/>
  <c r="A486" i="65"/>
  <c r="A487" i="65"/>
  <c r="B486" i="65"/>
  <c r="C486" i="65"/>
  <c r="C482" i="65"/>
  <c r="B479" i="65"/>
  <c r="G486" i="65" s="1"/>
  <c r="A481" i="65"/>
  <c r="D476" i="65"/>
  <c r="A479" i="65"/>
  <c r="A482" i="65"/>
  <c r="A484" i="65"/>
  <c r="A483" i="65"/>
  <c r="B484" i="65"/>
  <c r="E479" i="65"/>
  <c r="B485" i="65"/>
  <c r="A480" i="65"/>
  <c r="C485" i="65"/>
  <c r="B482" i="65"/>
  <c r="C484" i="65"/>
  <c r="G475" i="65"/>
  <c r="B481" i="65"/>
  <c r="C483" i="65"/>
  <c r="B483" i="65"/>
  <c r="A485" i="65"/>
  <c r="B495" i="65" l="1"/>
  <c r="A493" i="65"/>
  <c r="A492" i="65"/>
  <c r="B494" i="65"/>
  <c r="A491" i="65"/>
  <c r="C495" i="65"/>
  <c r="A494" i="65"/>
  <c r="A490" i="65"/>
  <c r="C491" i="65"/>
  <c r="B488" i="65"/>
  <c r="G495" i="65" s="1"/>
  <c r="G1048576" i="65" s="1"/>
  <c r="A489" i="65"/>
  <c r="C492" i="65"/>
  <c r="B491" i="65"/>
  <c r="A488" i="65"/>
  <c r="C494" i="65"/>
  <c r="B492" i="65"/>
  <c r="E488" i="65"/>
  <c r="O4" i="65" s="1"/>
  <c r="C493" i="65"/>
  <c r="A495" i="65"/>
  <c r="B490" i="65"/>
  <c r="B493" i="65"/>
  <c r="L4" i="65" l="1"/>
  <c r="E28" i="29" l="1"/>
  <c r="E37" i="29"/>
  <c r="P23" i="29"/>
  <c r="E23" i="29"/>
  <c r="E30" i="29"/>
  <c r="P36" i="29"/>
  <c r="E36" i="29"/>
  <c r="E24" i="29"/>
  <c r="M7" i="29"/>
  <c r="E31" i="29"/>
  <c r="P31" i="29"/>
  <c r="C24" i="29"/>
  <c r="C37" i="29"/>
  <c r="C28" i="29"/>
  <c r="P30" i="29"/>
  <c r="E29" i="29"/>
  <c r="E34" i="29"/>
  <c r="C29" i="29"/>
  <c r="E33" i="29"/>
  <c r="P33" i="29"/>
  <c r="P18" i="29"/>
  <c r="E18" i="29"/>
  <c r="E32" i="29"/>
  <c r="P38" i="29"/>
  <c r="E38" i="29"/>
  <c r="C27" i="29"/>
  <c r="E27" i="29"/>
  <c r="E21" i="29"/>
  <c r="C21" i="29"/>
  <c r="P25" i="29"/>
  <c r="E25" i="29"/>
  <c r="E16" i="29"/>
  <c r="C20" i="29"/>
  <c r="E20" i="29"/>
  <c r="C17" i="29"/>
  <c r="E17" i="29"/>
  <c r="P16" i="29"/>
  <c r="P28" i="29" l="1"/>
  <c r="C33" i="29"/>
  <c r="C38" i="29"/>
  <c r="P17" i="29"/>
  <c r="P20" i="29"/>
  <c r="P29" i="29"/>
  <c r="M3" i="29"/>
  <c r="E3" i="29"/>
  <c r="C18" i="29"/>
  <c r="C23" i="29"/>
  <c r="C16" i="29"/>
  <c r="K7" i="29"/>
  <c r="N7" i="29" s="1"/>
  <c r="O7" i="29" s="1"/>
  <c r="P34" i="29"/>
  <c r="C25" i="29"/>
  <c r="C30" i="29"/>
  <c r="P21" i="29"/>
  <c r="P24" i="29"/>
  <c r="C32" i="29"/>
  <c r="C36" i="29"/>
  <c r="P32" i="29"/>
  <c r="P27" i="29"/>
  <c r="C34" i="29"/>
  <c r="P37" i="29"/>
  <c r="C31" i="29"/>
  <c r="K3" i="29" l="1"/>
  <c r="AE9" i="29" s="1"/>
  <c r="C3" i="29"/>
  <c r="AD2" i="29" l="1"/>
  <c r="AF9" i="29"/>
  <c r="AF5" i="29"/>
  <c r="N3" i="29"/>
  <c r="AM1" i="29" s="1"/>
  <c r="AF2" i="29"/>
  <c r="AG2" i="29"/>
  <c r="AC2" i="29"/>
  <c r="AE2" i="29"/>
  <c r="O3" i="29"/>
  <c r="C6" i="29"/>
  <c r="AJ2" i="29" l="1"/>
  <c r="AO6" i="29" s="1"/>
  <c r="AO8" i="29" l="1"/>
  <c r="AO5" i="29"/>
  <c r="K9" i="29" s="1"/>
  <c r="C5" i="29"/>
  <c r="AH3" i="29"/>
  <c r="AO3" i="29"/>
  <c r="AO7" i="29"/>
  <c r="AO4" i="29"/>
  <c r="AO2" i="29"/>
</calcChain>
</file>

<file path=xl/comments1.xml><?xml version="1.0" encoding="utf-8"?>
<comments xmlns="http://schemas.openxmlformats.org/spreadsheetml/2006/main">
  <authors>
    <author>JB</author>
  </authors>
  <commentList>
    <comment ref="G1" authorId="0">
      <text>
        <r>
          <rPr>
            <sz val="9"/>
            <color indexed="81"/>
            <rFont val="Tahoma"/>
            <family val="2"/>
          </rPr>
          <t xml:space="preserve"> Premier N° de copropriétaire</t>
        </r>
      </text>
    </comment>
    <comment ref="H1" authorId="0">
      <text>
        <r>
          <rPr>
            <sz val="9"/>
            <color indexed="81"/>
            <rFont val="Tahoma"/>
            <family val="2"/>
          </rPr>
          <t xml:space="preserve">    N° prmière Page
   Feuille de Présence
</t>
        </r>
      </text>
    </comment>
  </commentList>
</comments>
</file>

<file path=xl/comments2.xml><?xml version="1.0" encoding="utf-8"?>
<comments xmlns="http://schemas.openxmlformats.org/spreadsheetml/2006/main">
  <authors>
    <author>JB</author>
  </authors>
  <commentList>
    <comment ref="O2" authorId="0">
      <text>
        <r>
          <rPr>
            <sz val="9"/>
            <color indexed="81"/>
            <rFont val="Tahoma"/>
            <family val="2"/>
          </rPr>
          <t xml:space="preserve">     UTILITAIRE
Nombre de Mandats,
 </t>
        </r>
      </text>
    </comment>
    <comment ref="Q2" authorId="0">
      <text>
        <r>
          <rPr>
            <sz val="8"/>
            <color indexed="81"/>
            <rFont val="Tahoma"/>
            <family val="2"/>
          </rPr>
          <t xml:space="preserve">Mettre la désignation de la clé.
Par exemple:
TANT.GENERAUX
</t>
        </r>
      </text>
    </comment>
    <comment ref="R2" authorId="0">
      <text>
        <r>
          <rPr>
            <sz val="8"/>
            <color indexed="81"/>
            <rFont val="Tahoma"/>
            <family val="2"/>
          </rPr>
          <t xml:space="preserve">Mettre la désignation de la clé.
Par exemple:
TANT.GENERAUX
</t>
        </r>
      </text>
    </comment>
    <comment ref="S2" authorId="0">
      <text>
        <r>
          <rPr>
            <sz val="8"/>
            <color indexed="81"/>
            <rFont val="Tahoma"/>
            <family val="2"/>
          </rPr>
          <t xml:space="preserve">Mettre la désignation de la clé.
Par exemple:
TANT.GENERAUX
</t>
        </r>
      </text>
    </comment>
    <comment ref="T2" authorId="0">
      <text>
        <r>
          <rPr>
            <sz val="8"/>
            <color indexed="81"/>
            <rFont val="Tahoma"/>
            <family val="2"/>
          </rPr>
          <t xml:space="preserve">Mettre la désignation de la clé.
Par exemple:
TANT.GENERAUX
</t>
        </r>
      </text>
    </comment>
    <comment ref="U2" authorId="0">
      <text>
        <r>
          <rPr>
            <sz val="8"/>
            <color indexed="81"/>
            <rFont val="Tahoma"/>
            <family val="2"/>
          </rPr>
          <t xml:space="preserve">Mettre la désignation de la clé.
Par exemple:
TANT.GENERAUX
</t>
        </r>
      </text>
    </comment>
    <comment ref="V2" authorId="0">
      <text>
        <r>
          <rPr>
            <sz val="8"/>
            <color indexed="81"/>
            <rFont val="Tahoma"/>
            <family val="2"/>
          </rPr>
          <t xml:space="preserve">Mettre la désignation de la clé.
Par exemple:
TANT.GENERAUX
</t>
        </r>
      </text>
    </comment>
    <comment ref="W2" authorId="0">
      <text>
        <r>
          <rPr>
            <sz val="8"/>
            <color indexed="81"/>
            <rFont val="Tahoma"/>
            <family val="2"/>
          </rPr>
          <t xml:space="preserve">Mettre la désignation de la clé.
Par exemple:
TANT.GENERAUX
</t>
        </r>
      </text>
    </comment>
    <comment ref="X2" authorId="0">
      <text>
        <r>
          <rPr>
            <sz val="8"/>
            <color indexed="81"/>
            <rFont val="Tahoma"/>
            <family val="2"/>
          </rPr>
          <t xml:space="preserve">Mettre la désignation de la clé.
Par exemple:
TANT.GENERAUX
</t>
        </r>
      </text>
    </comment>
    <comment ref="Y2" authorId="0">
      <text>
        <r>
          <rPr>
            <sz val="8"/>
            <color indexed="81"/>
            <rFont val="Tahoma"/>
            <family val="2"/>
          </rPr>
          <t xml:space="preserve">Mettre la désignation de la clé.
Par exemple:
TANT.GENERAUX
</t>
        </r>
      </text>
    </comment>
    <comment ref="Z2" authorId="0">
      <text>
        <r>
          <rPr>
            <sz val="8"/>
            <color indexed="81"/>
            <rFont val="Tahoma"/>
            <family val="2"/>
          </rPr>
          <t xml:space="preserve">Mettre la désignation de la clé.
Par exemple:
TANT.GENERAUX
</t>
        </r>
      </text>
    </comment>
    <comment ref="AA2" authorId="0">
      <text>
        <r>
          <rPr>
            <sz val="8"/>
            <color indexed="81"/>
            <rFont val="Tahoma"/>
            <family val="2"/>
          </rPr>
          <t xml:space="preserve">Mettre la désignation de la clé.
Par exemple:
TANT.GENERAUX
</t>
        </r>
      </text>
    </comment>
    <comment ref="AL2" authorId="0">
      <text>
        <r>
          <rPr>
            <sz val="9"/>
            <color indexed="81"/>
            <rFont val="Tahoma"/>
            <family val="2"/>
          </rPr>
          <t>Feuille : FMERE = 2
Feuilles de Votes  = 3
Feuilles VALIDEES = 4</t>
        </r>
      </text>
    </comment>
    <comment ref="G7" authorId="0">
      <text>
        <r>
          <rPr>
            <sz val="9"/>
            <color indexed="81"/>
            <rFont val="Tahoma"/>
            <family val="2"/>
          </rPr>
          <t xml:space="preserve">Informatios si
Attribution de Pouvoirs
dépassant les limites
</t>
        </r>
      </text>
    </comment>
    <comment ref="AE8" authorId="0">
      <text>
        <r>
          <rPr>
            <sz val="9"/>
            <color indexed="81"/>
            <rFont val="Tahoma"/>
            <family val="2"/>
          </rPr>
          <t xml:space="preserve">2 = Possibiliité 2e vote
</t>
        </r>
      </text>
    </comment>
    <comment ref="AF8" authorId="0">
      <text>
        <r>
          <rPr>
            <sz val="9"/>
            <color indexed="81"/>
            <rFont val="Tahoma"/>
            <family val="2"/>
          </rPr>
          <t xml:space="preserve">Si possibilité  2e vote
</t>
        </r>
      </text>
    </comment>
    <comment ref="AJ8" authorId="0">
      <text>
        <r>
          <rPr>
            <sz val="9"/>
            <color indexed="81"/>
            <rFont val="Tahoma"/>
            <family val="2"/>
          </rPr>
          <t>Majorité de tous les copropriétaires</t>
        </r>
      </text>
    </comment>
    <comment ref="AE9" authorId="0">
      <text>
        <r>
          <rPr>
            <sz val="9"/>
            <color indexed="81"/>
            <rFont val="Tahoma"/>
            <family val="2"/>
          </rPr>
          <t xml:space="preserve">2 = Possibiliité 2e vote
</t>
        </r>
      </text>
    </comment>
    <comment ref="AF9" authorId="0">
      <text>
        <r>
          <rPr>
            <sz val="9"/>
            <color indexed="81"/>
            <rFont val="Tahoma"/>
            <family val="2"/>
          </rPr>
          <t xml:space="preserve">Si possibilité  2e vote
</t>
        </r>
      </text>
    </comment>
    <comment ref="AI10" authorId="0">
      <text>
        <r>
          <rPr>
            <sz val="9"/>
            <color indexed="81"/>
            <rFont val="Tahoma"/>
            <family val="2"/>
          </rPr>
          <t xml:space="preserve">Si résolution article 25
</t>
        </r>
      </text>
    </comment>
    <comment ref="AJ10" authorId="0">
      <text>
        <r>
          <rPr>
            <sz val="9"/>
            <color indexed="81"/>
            <rFont val="Tahoma"/>
            <family val="2"/>
          </rPr>
          <t xml:space="preserve">Si résolution article 26
</t>
        </r>
      </text>
    </comment>
    <comment ref="AK10" authorId="0">
      <text>
        <r>
          <rPr>
            <sz val="9"/>
            <color indexed="81"/>
            <rFont val="Tahoma"/>
            <family val="2"/>
          </rPr>
          <t xml:space="preserve">Si résolution article 26-1
</t>
        </r>
      </text>
    </comment>
    <comment ref="AC11" authorId="0">
      <text>
        <r>
          <rPr>
            <sz val="9"/>
            <color indexed="81"/>
            <rFont val="Tahoma"/>
            <family val="2"/>
          </rPr>
          <t xml:space="preserve">Nombres de copropriétaires
ayant trop
d' attributions de
POUVOIRS.
</t>
        </r>
      </text>
    </comment>
    <comment ref="AD11" authorId="0">
      <text>
        <r>
          <rPr>
            <b/>
            <sz val="9"/>
            <color indexed="81"/>
            <rFont val="Tahoma"/>
            <family val="2"/>
          </rPr>
          <t>Si plus de trois mandats:</t>
        </r>
        <r>
          <rPr>
            <sz val="9"/>
            <color indexed="81"/>
            <rFont val="Tahoma"/>
            <family val="2"/>
          </rPr>
          <t xml:space="preserve">
Nombre maximum de voix dont peut disposer un mandataire,
Les siennes et celles de ses mandants,
</t>
        </r>
      </text>
    </comment>
    <comment ref="AJ11" authorId="0">
      <text>
        <r>
          <rPr>
            <sz val="9"/>
            <color indexed="81"/>
            <rFont val="Tahoma"/>
            <family val="2"/>
          </rPr>
          <t xml:space="preserve">Si résolution article 26
</t>
        </r>
      </text>
    </comment>
    <comment ref="A13" authorId="0">
      <text>
        <r>
          <rPr>
            <sz val="8"/>
            <color indexed="81"/>
            <rFont val="Tahoma"/>
            <family val="2"/>
          </rPr>
          <t xml:space="preserve">La liste doit être triée
par ordre croissant
des Numéros, après classement des NOMS par ordre alphabétique
</t>
        </r>
      </text>
    </comment>
    <comment ref="B13" authorId="0">
      <text>
        <r>
          <rPr>
            <sz val="8"/>
            <color indexed="81"/>
            <rFont val="Tahoma"/>
            <family val="2"/>
          </rPr>
          <t>Classement par ordre
Alphabétique croissant.</t>
        </r>
      </text>
    </comment>
    <comment ref="P13" authorId="0">
      <text>
        <r>
          <rPr>
            <sz val="9"/>
            <color indexed="81"/>
            <rFont val="Tahoma"/>
            <family val="2"/>
          </rPr>
          <t xml:space="preserve">1-Votes "POUR"
2-Votes "CONTRE"
3-Votes"Abstentions
</t>
        </r>
      </text>
    </comment>
    <comment ref="S13" authorId="0">
      <text>
        <r>
          <rPr>
            <sz val="8"/>
            <color indexed="81"/>
            <rFont val="Tahoma"/>
            <family val="2"/>
          </rPr>
          <t xml:space="preserve">Le LIBELLE est celui
de la ligne 2 ci-dessus.
</t>
        </r>
      </text>
    </comment>
    <comment ref="T13" authorId="0">
      <text>
        <r>
          <rPr>
            <sz val="8"/>
            <color indexed="81"/>
            <rFont val="Tahoma"/>
            <family val="2"/>
          </rPr>
          <t xml:space="preserve">Le LIBELLE est celui
de la ligne 2 ci-dessus.
</t>
        </r>
      </text>
    </comment>
    <comment ref="U13" authorId="0">
      <text>
        <r>
          <rPr>
            <sz val="8"/>
            <color indexed="81"/>
            <rFont val="Tahoma"/>
            <family val="2"/>
          </rPr>
          <t xml:space="preserve">Le LIBELLE est celui
de la ligne 2 ci-dessus.
</t>
        </r>
      </text>
    </comment>
    <comment ref="V13" authorId="0">
      <text>
        <r>
          <rPr>
            <sz val="8"/>
            <color indexed="81"/>
            <rFont val="Tahoma"/>
            <family val="2"/>
          </rPr>
          <t xml:space="preserve">Le LIBELLE est celui
de la ligne 2 ci-dessus.
</t>
        </r>
      </text>
    </comment>
    <comment ref="W13" authorId="0">
      <text>
        <r>
          <rPr>
            <sz val="8"/>
            <color indexed="81"/>
            <rFont val="Tahoma"/>
            <family val="2"/>
          </rPr>
          <t xml:space="preserve">Le LIBELLE est celui
de la ligne 2 ci-dessus.
</t>
        </r>
      </text>
    </comment>
    <comment ref="X13" authorId="0">
      <text>
        <r>
          <rPr>
            <sz val="8"/>
            <color indexed="81"/>
            <rFont val="Tahoma"/>
            <family val="2"/>
          </rPr>
          <t xml:space="preserve">Le LIBELLE est celui
de la ligne 2 ci-dessus.
</t>
        </r>
      </text>
    </comment>
    <comment ref="Y13" authorId="0">
      <text>
        <r>
          <rPr>
            <sz val="8"/>
            <color indexed="81"/>
            <rFont val="Tahoma"/>
            <family val="2"/>
          </rPr>
          <t xml:space="preserve">Le LIBELLE est celui
de la ligne 2 ci-dessus.
</t>
        </r>
      </text>
    </comment>
    <comment ref="Z13" authorId="0">
      <text>
        <r>
          <rPr>
            <sz val="8"/>
            <color indexed="81"/>
            <rFont val="Tahoma"/>
            <family val="2"/>
          </rPr>
          <t xml:space="preserve">Le LIBELLE est celui
de la ligne 2 ci-dessus.
</t>
        </r>
      </text>
    </comment>
    <comment ref="AA13" authorId="0">
      <text>
        <r>
          <rPr>
            <sz val="8"/>
            <color indexed="81"/>
            <rFont val="Tahoma"/>
            <family val="2"/>
          </rPr>
          <t xml:space="preserve">Le LIBELLE est celui
de la ligne 2 ci-dessus.
</t>
        </r>
      </text>
    </comment>
    <comment ref="AB13" authorId="0">
      <text>
        <r>
          <rPr>
            <sz val="8"/>
            <color indexed="81"/>
            <rFont val="Tahoma"/>
            <family val="2"/>
          </rPr>
          <t xml:space="preserve">Colonne Utilitaire
Ne pas modifier.
</t>
        </r>
      </text>
    </comment>
  </commentList>
</comments>
</file>

<file path=xl/comments3.xml><?xml version="1.0" encoding="utf-8"?>
<comments xmlns="http://schemas.openxmlformats.org/spreadsheetml/2006/main">
  <authors>
    <author>JB</author>
  </authors>
  <commentList>
    <comment ref="O2" authorId="0">
      <text>
        <r>
          <rPr>
            <sz val="9"/>
            <color indexed="81"/>
            <rFont val="Tahoma"/>
            <family val="2"/>
          </rPr>
          <t xml:space="preserve">     UTILITAIRE
Nombre de Mandats,
 </t>
        </r>
      </text>
    </comment>
    <comment ref="Q2" authorId="0">
      <text>
        <r>
          <rPr>
            <sz val="8"/>
            <color indexed="81"/>
            <rFont val="Tahoma"/>
            <family val="2"/>
          </rPr>
          <t xml:space="preserve">Mettre la désignation de la clé.
Par exemple:
TANT.GENERAUX
</t>
        </r>
      </text>
    </comment>
    <comment ref="R2" authorId="0">
      <text>
        <r>
          <rPr>
            <sz val="8"/>
            <color indexed="81"/>
            <rFont val="Tahoma"/>
            <family val="2"/>
          </rPr>
          <t xml:space="preserve">Mettre la désignation de la clé.
Par exemple:
TANT.GENERAUX
</t>
        </r>
      </text>
    </comment>
    <comment ref="S2" authorId="0">
      <text>
        <r>
          <rPr>
            <sz val="8"/>
            <color indexed="81"/>
            <rFont val="Tahoma"/>
            <family val="2"/>
          </rPr>
          <t xml:space="preserve">Mettre la désignation de la clé.
Par exemple:
TANT.GENERAUX
</t>
        </r>
      </text>
    </comment>
    <comment ref="T2" authorId="0">
      <text>
        <r>
          <rPr>
            <sz val="8"/>
            <color indexed="81"/>
            <rFont val="Tahoma"/>
            <family val="2"/>
          </rPr>
          <t xml:space="preserve">Mettre la désignation de la clé.
Par exemple:
TANT.GENERAUX
</t>
        </r>
      </text>
    </comment>
    <comment ref="U2" authorId="0">
      <text>
        <r>
          <rPr>
            <sz val="8"/>
            <color indexed="81"/>
            <rFont val="Tahoma"/>
            <family val="2"/>
          </rPr>
          <t xml:space="preserve">Mettre la désignation de la clé.
Par exemple:
TANT.GENERAUX
</t>
        </r>
      </text>
    </comment>
    <comment ref="V2" authorId="0">
      <text>
        <r>
          <rPr>
            <sz val="8"/>
            <color indexed="81"/>
            <rFont val="Tahoma"/>
            <family val="2"/>
          </rPr>
          <t xml:space="preserve">Mettre la désignation de la clé.
Par exemple:
TANT.GENERAUX
</t>
        </r>
      </text>
    </comment>
    <comment ref="W2" authorId="0">
      <text>
        <r>
          <rPr>
            <sz val="8"/>
            <color indexed="81"/>
            <rFont val="Tahoma"/>
            <family val="2"/>
          </rPr>
          <t xml:space="preserve">Mettre la désignation de la clé.
Par exemple:
TANT.GENERAUX
</t>
        </r>
      </text>
    </comment>
    <comment ref="X2" authorId="0">
      <text>
        <r>
          <rPr>
            <sz val="8"/>
            <color indexed="81"/>
            <rFont val="Tahoma"/>
            <family val="2"/>
          </rPr>
          <t xml:space="preserve">Mettre la désignation de la clé.
Par exemple:
TANT.GENERAUX
</t>
        </r>
      </text>
    </comment>
    <comment ref="Y2" authorId="0">
      <text>
        <r>
          <rPr>
            <sz val="8"/>
            <color indexed="81"/>
            <rFont val="Tahoma"/>
            <family val="2"/>
          </rPr>
          <t xml:space="preserve">Mettre la désignation de la clé.
Par exemple:
TANT.GENERAUX
</t>
        </r>
      </text>
    </comment>
    <comment ref="Z2" authorId="0">
      <text>
        <r>
          <rPr>
            <sz val="8"/>
            <color indexed="81"/>
            <rFont val="Tahoma"/>
            <family val="2"/>
          </rPr>
          <t xml:space="preserve">Mettre la désignation de la clé.
Par exemple:
TANT.GENERAUX
</t>
        </r>
      </text>
    </comment>
    <comment ref="AA2" authorId="0">
      <text>
        <r>
          <rPr>
            <sz val="8"/>
            <color indexed="81"/>
            <rFont val="Tahoma"/>
            <family val="2"/>
          </rPr>
          <t xml:space="preserve">Mettre la désignation de la clé.
Par exemple:
TANT.GENERAUX
</t>
        </r>
      </text>
    </comment>
    <comment ref="AL2" authorId="0">
      <text>
        <r>
          <rPr>
            <sz val="9"/>
            <color indexed="81"/>
            <rFont val="Tahoma"/>
            <family val="2"/>
          </rPr>
          <t>Feuille : FMERE = 2
Feuilles de Votes  = 3
Feuilles VALIDEES = 4</t>
        </r>
      </text>
    </comment>
    <comment ref="G7" authorId="0">
      <text>
        <r>
          <rPr>
            <sz val="9"/>
            <color indexed="81"/>
            <rFont val="Tahoma"/>
            <family val="2"/>
          </rPr>
          <t xml:space="preserve">Informatios si
Attribution de Pouvoirs
dépassant les limites
</t>
        </r>
      </text>
    </comment>
    <comment ref="AE8" authorId="0">
      <text>
        <r>
          <rPr>
            <sz val="9"/>
            <color indexed="81"/>
            <rFont val="Tahoma"/>
            <family val="2"/>
          </rPr>
          <t xml:space="preserve">2 = Possibiliité 2e vote
</t>
        </r>
      </text>
    </comment>
    <comment ref="AF8" authorId="0">
      <text>
        <r>
          <rPr>
            <sz val="9"/>
            <color indexed="81"/>
            <rFont val="Tahoma"/>
            <family val="2"/>
          </rPr>
          <t xml:space="preserve">Si possibilité  2e vote
</t>
        </r>
      </text>
    </comment>
    <comment ref="AJ8" authorId="0">
      <text>
        <r>
          <rPr>
            <sz val="9"/>
            <color indexed="81"/>
            <rFont val="Tahoma"/>
            <family val="2"/>
          </rPr>
          <t>Majorité de tous les copropriétaires</t>
        </r>
      </text>
    </comment>
    <comment ref="AE9" authorId="0">
      <text>
        <r>
          <rPr>
            <sz val="9"/>
            <color indexed="81"/>
            <rFont val="Tahoma"/>
            <family val="2"/>
          </rPr>
          <t xml:space="preserve">2 = Possibiliité 2e vote
</t>
        </r>
      </text>
    </comment>
    <comment ref="AF9" authorId="0">
      <text>
        <r>
          <rPr>
            <sz val="9"/>
            <color indexed="81"/>
            <rFont val="Tahoma"/>
            <family val="2"/>
          </rPr>
          <t xml:space="preserve">Si possibilité  2e vote
</t>
        </r>
      </text>
    </comment>
    <comment ref="AI10" authorId="0">
      <text>
        <r>
          <rPr>
            <sz val="9"/>
            <color indexed="81"/>
            <rFont val="Tahoma"/>
            <family val="2"/>
          </rPr>
          <t xml:space="preserve">Si résolution article 25
</t>
        </r>
      </text>
    </comment>
    <comment ref="AJ10" authorId="0">
      <text>
        <r>
          <rPr>
            <sz val="9"/>
            <color indexed="81"/>
            <rFont val="Tahoma"/>
            <family val="2"/>
          </rPr>
          <t xml:space="preserve">Si résolution article 26
</t>
        </r>
      </text>
    </comment>
    <comment ref="AK10" authorId="0">
      <text>
        <r>
          <rPr>
            <sz val="9"/>
            <color indexed="81"/>
            <rFont val="Tahoma"/>
            <family val="2"/>
          </rPr>
          <t xml:space="preserve">Si résolution article 26-1
</t>
        </r>
      </text>
    </comment>
    <comment ref="AC11" authorId="0">
      <text>
        <r>
          <rPr>
            <sz val="9"/>
            <color indexed="81"/>
            <rFont val="Tahoma"/>
            <family val="2"/>
          </rPr>
          <t xml:space="preserve">Nombres de copropriétaires
ayant trop
d' attributions de
POUVOIRS.
</t>
        </r>
      </text>
    </comment>
    <comment ref="AD11" authorId="0">
      <text>
        <r>
          <rPr>
            <b/>
            <sz val="9"/>
            <color indexed="81"/>
            <rFont val="Tahoma"/>
            <family val="2"/>
          </rPr>
          <t>Si plus de trois mandats:</t>
        </r>
        <r>
          <rPr>
            <sz val="9"/>
            <color indexed="81"/>
            <rFont val="Tahoma"/>
            <family val="2"/>
          </rPr>
          <t xml:space="preserve">
Nombre maximum de voix dont peut disposer un mandataire,
Les siennes et celles de ses mandants,
</t>
        </r>
      </text>
    </comment>
    <comment ref="AJ11" authorId="0">
      <text>
        <r>
          <rPr>
            <sz val="9"/>
            <color indexed="81"/>
            <rFont val="Tahoma"/>
            <family val="2"/>
          </rPr>
          <t xml:space="preserve">Si résolution article 26
</t>
        </r>
      </text>
    </comment>
    <comment ref="A13" authorId="0">
      <text>
        <r>
          <rPr>
            <sz val="8"/>
            <color indexed="81"/>
            <rFont val="Tahoma"/>
            <family val="2"/>
          </rPr>
          <t xml:space="preserve">La liste doit être triée
par ordre croissant
des Numéros, après classement des NOMS par ordre alphabétique
</t>
        </r>
      </text>
    </comment>
    <comment ref="B13" authorId="0">
      <text>
        <r>
          <rPr>
            <sz val="8"/>
            <color indexed="81"/>
            <rFont val="Tahoma"/>
            <family val="2"/>
          </rPr>
          <t>Classement par ordre
Alphabétique croissant.</t>
        </r>
      </text>
    </comment>
    <comment ref="P13" authorId="0">
      <text>
        <r>
          <rPr>
            <sz val="9"/>
            <color indexed="81"/>
            <rFont val="Tahoma"/>
            <family val="2"/>
          </rPr>
          <t xml:space="preserve">1-Votes "POUR"
2-Votes "CONTRE"
3-Votes"Abstentions
</t>
        </r>
      </text>
    </comment>
    <comment ref="S13" authorId="0">
      <text>
        <r>
          <rPr>
            <sz val="8"/>
            <color indexed="81"/>
            <rFont val="Tahoma"/>
            <family val="2"/>
          </rPr>
          <t xml:space="preserve">Le LIBELLE est celui
de la ligne 2 ci-dessus.
</t>
        </r>
      </text>
    </comment>
    <comment ref="T13" authorId="0">
      <text>
        <r>
          <rPr>
            <sz val="8"/>
            <color indexed="81"/>
            <rFont val="Tahoma"/>
            <family val="2"/>
          </rPr>
          <t xml:space="preserve">Le LIBELLE est celui
de la ligne 2 ci-dessus.
</t>
        </r>
      </text>
    </comment>
    <comment ref="U13" authorId="0">
      <text>
        <r>
          <rPr>
            <sz val="8"/>
            <color indexed="81"/>
            <rFont val="Tahoma"/>
            <family val="2"/>
          </rPr>
          <t xml:space="preserve">Le LIBELLE est celui
de la ligne 2 ci-dessus.
</t>
        </r>
      </text>
    </comment>
    <comment ref="V13" authorId="0">
      <text>
        <r>
          <rPr>
            <sz val="8"/>
            <color indexed="81"/>
            <rFont val="Tahoma"/>
            <family val="2"/>
          </rPr>
          <t xml:space="preserve">Le LIBELLE est celui
de la ligne 2 ci-dessus.
</t>
        </r>
      </text>
    </comment>
    <comment ref="W13" authorId="0">
      <text>
        <r>
          <rPr>
            <sz val="8"/>
            <color indexed="81"/>
            <rFont val="Tahoma"/>
            <family val="2"/>
          </rPr>
          <t xml:space="preserve">Le LIBELLE est celui
de la ligne 2 ci-dessus.
</t>
        </r>
      </text>
    </comment>
    <comment ref="X13" authorId="0">
      <text>
        <r>
          <rPr>
            <sz val="8"/>
            <color indexed="81"/>
            <rFont val="Tahoma"/>
            <family val="2"/>
          </rPr>
          <t xml:space="preserve">Le LIBELLE est celui
de la ligne 2 ci-dessus.
</t>
        </r>
      </text>
    </comment>
    <comment ref="Y13" authorId="0">
      <text>
        <r>
          <rPr>
            <sz val="8"/>
            <color indexed="81"/>
            <rFont val="Tahoma"/>
            <family val="2"/>
          </rPr>
          <t xml:space="preserve">Le LIBELLE est celui
de la ligne 2 ci-dessus.
</t>
        </r>
      </text>
    </comment>
    <comment ref="Z13" authorId="0">
      <text>
        <r>
          <rPr>
            <sz val="8"/>
            <color indexed="81"/>
            <rFont val="Tahoma"/>
            <family val="2"/>
          </rPr>
          <t xml:space="preserve">Le LIBELLE est celui
de la ligne 2 ci-dessus.
</t>
        </r>
      </text>
    </comment>
    <comment ref="AA13" authorId="0">
      <text>
        <r>
          <rPr>
            <sz val="8"/>
            <color indexed="81"/>
            <rFont val="Tahoma"/>
            <family val="2"/>
          </rPr>
          <t xml:space="preserve">Le LIBELLE est celui
de la ligne 2 ci-dessus.
</t>
        </r>
      </text>
    </comment>
    <comment ref="AB13" authorId="0">
      <text>
        <r>
          <rPr>
            <sz val="8"/>
            <color indexed="81"/>
            <rFont val="Tahoma"/>
            <family val="2"/>
          </rPr>
          <t xml:space="preserve">Colonne Utilitaire
Ne pas modifier.
</t>
        </r>
      </text>
    </comment>
  </commentList>
</comments>
</file>

<file path=xl/sharedStrings.xml><?xml version="1.0" encoding="utf-8"?>
<sst xmlns="http://schemas.openxmlformats.org/spreadsheetml/2006/main" count="1209" uniqueCount="201">
  <si>
    <t>NOMS</t>
  </si>
  <si>
    <t>POUR</t>
  </si>
  <si>
    <t>CONTRE</t>
  </si>
  <si>
    <t>Voix POUR</t>
  </si>
  <si>
    <t>Voix CONTRE</t>
  </si>
  <si>
    <t>Voix Abst.</t>
  </si>
  <si>
    <t>VERIF</t>
  </si>
  <si>
    <t>Tant. Repré.</t>
  </si>
  <si>
    <t>Total TANT.</t>
  </si>
  <si>
    <t>Tous Copros</t>
  </si>
  <si>
    <t>26 Maj.2/3 Voix</t>
  </si>
  <si>
    <t>P. R</t>
  </si>
  <si>
    <t>PRES. Votants</t>
  </si>
  <si>
    <t>ABSTENT</t>
  </si>
  <si>
    <t xml:space="preserve"> TANT.</t>
  </si>
  <si>
    <t>N° Ordre</t>
  </si>
  <si>
    <t>Rep.par</t>
  </si>
  <si>
    <t xml:space="preserve"> TANT.GEN</t>
  </si>
  <si>
    <t>TANT.GEN</t>
  </si>
  <si>
    <t>Syndicat</t>
  </si>
  <si>
    <t>Tot.Votants</t>
  </si>
  <si>
    <t>Prés.Repr</t>
  </si>
  <si>
    <t>Total</t>
  </si>
  <si>
    <t xml:space="preserve"> CLE</t>
  </si>
  <si>
    <t>VOIX</t>
  </si>
  <si>
    <t>NOMBRE</t>
  </si>
  <si>
    <t>x</t>
  </si>
  <si>
    <t xml:space="preserve">  Total Voix</t>
  </si>
  <si>
    <t xml:space="preserve">    Nombre  Représentés</t>
  </si>
  <si>
    <t>LIMITES</t>
  </si>
  <si>
    <t xml:space="preserve">                                               G E S T I O N    D E S   V O T E S</t>
  </si>
  <si>
    <t>La gestion des Votes en A.G. de copropriété, sur Excel, repose sur l' utilisation d'une feuille "MERE" qui est la copie de la feuille  de présence.</t>
  </si>
  <si>
    <t>La feuille  "MERE"  peut être créé dés que la convocation de l' A.G. est faite.</t>
  </si>
  <si>
    <t>Elle comporte la liste de tous les copropriétaires avec leurs tantièmes dans les différentes clés.</t>
  </si>
  <si>
    <t>Cliquez sur le boutron "Nouveau dossier" pour ouvrir un dossier pour la nouvelle A.G.</t>
  </si>
  <si>
    <t>aphabétique et numérotée,</t>
  </si>
  <si>
    <t>Le numéro d' ordre attribué à un copropriétaire ne sert qu' à faire le lien entre les mandants et le mandataire</t>
  </si>
  <si>
    <t>Pour les représentés mettre en colonne "H" le numéro du mandataire.</t>
  </si>
  <si>
    <t>Le logiciel vérifie pour chaque copropriétaire les limites, nombre de pouvoirs et nombre de voix:</t>
  </si>
  <si>
    <t>Colonne "AC" - Nombre de représentés.</t>
  </si>
  <si>
    <t>Vous pouvez maintenant cliquer sur le bouton "Feuille de Votes"</t>
  </si>
  <si>
    <t>Vous alllez entrer les informations demandées par le programme: Référence de la résolution, Objet de la résolution, Numéro de majorité</t>
  </si>
  <si>
    <t>Les colonnes "D" à "F" sont masqués pour faciliter la saisie des votes.</t>
  </si>
  <si>
    <t>Pour les afficher à nouveau il suffit de cliquer sur le bouton bleu "Afficher tout".</t>
  </si>
  <si>
    <t>Il ne faut jamais trier une feuille de vote en cours d' A.G.sauf l' opération  facultative "Trier Valider" en fin de votes</t>
  </si>
  <si>
    <t>Explication sur les couleurs de fonds :</t>
  </si>
  <si>
    <t>Colonne A couleur "BLEU" : Mandataires</t>
  </si>
  <si>
    <t>Lignes  de couleur "JAUNE" : Présents</t>
  </si>
  <si>
    <t>Lignes de couleur "GRISE" : Absents,</t>
  </si>
  <si>
    <t>Bouton :" TRIER VALIDER"</t>
  </si>
  <si>
    <t>La validation n' est pas obligatoire, l' opération est irréversible.</t>
  </si>
  <si>
    <t>La validation  trie les copropriétaires suivant les votes exprimés, cela permet de faire un "copier" des votes des opposants à la résolution et</t>
  </si>
  <si>
    <t>de faire un "coller" dans le P.V. d' A.G.</t>
  </si>
  <si>
    <t>Le logiciel indique quels sont les "Opposants à la décision prise".</t>
  </si>
  <si>
    <t>Le logiciel renomme le nouveau dossier automatiquement avec référence à la date de la nouvelle A.G.</t>
  </si>
  <si>
    <t>Voix     POUR</t>
  </si>
  <si>
    <t xml:space="preserve">Voix   CONTRE  </t>
  </si>
  <si>
    <t>Votes    POUR</t>
  </si>
  <si>
    <t>N°</t>
  </si>
  <si>
    <t>Civilité</t>
  </si>
  <si>
    <t>Adresse</t>
  </si>
  <si>
    <t>Ville</t>
  </si>
  <si>
    <t>Tantièmes</t>
  </si>
  <si>
    <t>N° lot</t>
  </si>
  <si>
    <t>Nature</t>
  </si>
  <si>
    <t>Tant,</t>
  </si>
  <si>
    <t>Civ,</t>
  </si>
  <si>
    <t>M,</t>
  </si>
  <si>
    <t>Mme</t>
  </si>
  <si>
    <t>M,Mme</t>
  </si>
  <si>
    <t>M.</t>
  </si>
  <si>
    <t>Monsieur</t>
  </si>
  <si>
    <t>Madame</t>
  </si>
  <si>
    <t>Code Postal</t>
  </si>
  <si>
    <t>13rue de l' espoir</t>
  </si>
  <si>
    <t xml:space="preserve">Paris </t>
  </si>
  <si>
    <t>Appart,</t>
  </si>
  <si>
    <t>Cave</t>
  </si>
  <si>
    <t>Parking</t>
  </si>
  <si>
    <t>Garage</t>
  </si>
  <si>
    <t>Box</t>
  </si>
  <si>
    <t>AURIDON Jean-Paul</t>
  </si>
  <si>
    <t>BACHELIER Paul</t>
  </si>
  <si>
    <t>BALDARINI Marc</t>
  </si>
  <si>
    <t>AMONICA Marie</t>
  </si>
  <si>
    <t>BARATIN Isaac</t>
  </si>
  <si>
    <t>BARMAN Marcel</t>
  </si>
  <si>
    <t>BELARDIN Denis</t>
  </si>
  <si>
    <t>BATEMONT Jeanne</t>
  </si>
  <si>
    <t>BAUDIARD Marcelin</t>
  </si>
  <si>
    <t>BERTELOT Marcel</t>
  </si>
  <si>
    <t>BESARDINI Luciennne</t>
  </si>
  <si>
    <t>BICHEMONT Paul</t>
  </si>
  <si>
    <t>A S S E M B L E E     G E N E R A L E</t>
  </si>
  <si>
    <t>AMSALAM Marcel</t>
  </si>
  <si>
    <t>ANIEBERT Paul</t>
  </si>
  <si>
    <t>AUBEPINE André</t>
  </si>
  <si>
    <t>Mr  et Mme</t>
  </si>
  <si>
    <t>Page</t>
  </si>
  <si>
    <t>WEBER Jean Pierre</t>
  </si>
  <si>
    <t>X</t>
  </si>
  <si>
    <t>CARTON Louis</t>
  </si>
  <si>
    <t>33 rue de l' Avenir</t>
  </si>
  <si>
    <t>DAGUILLON Jean-Pierre</t>
  </si>
  <si>
    <t>13 rue du n,Paradis</t>
  </si>
  <si>
    <t>FARDIN Sébastin</t>
  </si>
  <si>
    <t>13 rue de Marseille</t>
  </si>
  <si>
    <t>SEBARDIN Suzanne</t>
  </si>
  <si>
    <t>47 rue de Nantes</t>
  </si>
  <si>
    <t>13 rue de l' espoir</t>
  </si>
  <si>
    <t>14 rue de l' espoir</t>
  </si>
  <si>
    <t>15 rue de l' espoir</t>
  </si>
  <si>
    <t>16 rue de l' espoir</t>
  </si>
  <si>
    <t>17 rue de l' espoir</t>
  </si>
  <si>
    <t>Du</t>
  </si>
  <si>
    <t>LISTE DES COPROPRIETAIRES</t>
  </si>
  <si>
    <t>Total Tantièmes</t>
  </si>
  <si>
    <t>XX</t>
  </si>
  <si>
    <t>25 Maj; Voix</t>
  </si>
  <si>
    <t>A partir de cette feuille on crée une feuille de vote pour chaque question à l' ordre du jour de l' A.G.</t>
  </si>
  <si>
    <t>Feuille "Liste"</t>
  </si>
  <si>
    <t>Comporte le numéro d' ordre, les noms et adresses, les numéros de lots et leur désignation et tantièmes généraux.</t>
  </si>
  <si>
    <t>Cette feuille sert à l' établissement automatique de la feuille de présence (F.P.)</t>
  </si>
  <si>
    <t>Cette feuille doit être imprimée pour servir à l' émargement.</t>
  </si>
  <si>
    <t>Dans la feuille "Liste" faire les modifications éventuelles suite à des mutations et cliquez sur "Mise à jour", la liste des copropriétaires est alors trier par ordre</t>
  </si>
  <si>
    <t>il ne faut pas trier la feuille "MERE" en cours d' A.G.</t>
  </si>
  <si>
    <t>Colonne "AD" - Total des voix disponibles pour le mandataire.</t>
  </si>
  <si>
    <t>Colonne "O" - Avertissement en cas de dépassement :  "1" en rouge.</t>
  </si>
  <si>
    <t>Cellule G7, Cadre rouge clair :avertissement si nombre de représentés et nombre de voix dépassées</t>
  </si>
  <si>
    <t>Le logiciel refusera cet accès si les limites sont dépassées.</t>
  </si>
  <si>
    <t>nécessaire (24 ,25, 25,1, 26 ), numéro ,de clé applicable.</t>
  </si>
  <si>
    <t>NOUVEAU DOSSIER:</t>
  </si>
  <si>
    <t>Le bouton rouge "Nouveau dossier" permet de créer un dossier pour une nouvelle A.G.</t>
  </si>
  <si>
    <t>Le dossier de l' A.G. précédente est conservé.</t>
  </si>
  <si>
    <t>Il faut mettre à jour la feuille "Liste" des mutations et changements d' adresse intervenus depuis l' A.G. précédente, ensuite cliquer sur le bouton "Mise à jour".</t>
  </si>
  <si>
    <t>NOUVELLE5 COPROPRIETE:</t>
  </si>
  <si>
    <t>Il faut créer un "Nouveau dossier"</t>
  </si>
  <si>
    <t>Enregistrer tous les noms adresses , lots et tantièmes de tous les copropriétaires.</t>
  </si>
  <si>
    <t>Dans la feuille "F.MERE" suoprimer les tantièmes spécifiques (Colonnes R à AA, et les remplacer par ceux du nouveau syndicat.</t>
  </si>
  <si>
    <t>Mise à jour le 19/04/16</t>
  </si>
  <si>
    <t>J.B.</t>
  </si>
  <si>
    <t>BARDON Pierre</t>
  </si>
  <si>
    <t>ALADIN André</t>
  </si>
  <si>
    <t>P. R,PART</t>
  </si>
  <si>
    <t>ASSALADIN Julie</t>
  </si>
  <si>
    <t>Votes   CONTRE</t>
  </si>
  <si>
    <t>Votes  ABSTENt,</t>
  </si>
  <si>
    <t>Vous pouvez maintenant, à partir de la feuille de présence papier émargée par les copropriétaires, enregistrer les présents et représentés. Mettre un "1" dans la collonne G</t>
  </si>
  <si>
    <t>Si vous voulez vous pouvez mettre un "2" pour les votants par correspondance et un "3" pour les votants par électronique, cela créera dans la feuille votes des plages de saisies.</t>
  </si>
  <si>
    <t>Votes,P,C,Abs</t>
  </si>
  <si>
    <t>Date A.G.</t>
  </si>
  <si>
    <t>Nom</t>
  </si>
  <si>
    <t>Rue de l' espoir</t>
  </si>
  <si>
    <t>CP,Ville</t>
  </si>
  <si>
    <t>75016 PARIS</t>
  </si>
  <si>
    <t>Résidence Le Paradis</t>
  </si>
  <si>
    <t>DUBOIS/BALARDIN Joseph</t>
  </si>
  <si>
    <t>TOTAL</t>
  </si>
  <si>
    <t>Par visio, audio conférence,,,,</t>
  </si>
  <si>
    <t>Arrivé à</t>
  </si>
  <si>
    <t>après vote de la Résolution N°</t>
  </si>
  <si>
    <t>Départ à</t>
  </si>
  <si>
    <t xml:space="preserve">Par correspondance reçu le </t>
  </si>
  <si>
    <t>Signature/ Mandataire :</t>
  </si>
  <si>
    <t>AUBERT Pierre</t>
  </si>
  <si>
    <t>Nombre  Copropriétaires</t>
  </si>
  <si>
    <t>du</t>
  </si>
  <si>
    <t>Messagerie</t>
  </si>
  <si>
    <t>Amsalam@free;fr</t>
  </si>
  <si>
    <t>Aladin@fgree;fr</t>
  </si>
  <si>
    <t>Baratin@free,fr</t>
  </si>
  <si>
    <t>Bichemont,P@free,fr</t>
  </si>
  <si>
    <t>Carton,L@free,fr</t>
  </si>
  <si>
    <t>WEBER.JP@outlook</t>
  </si>
  <si>
    <t>Barman,Marcel@outlook</t>
  </si>
  <si>
    <t>M</t>
  </si>
  <si>
    <t>Une colonne sert à insérer les adresses électroniques pour les copropriétaires ayant donné leur accord pour</t>
  </si>
  <si>
    <t>pour recevoir des communications élecrronique.</t>
  </si>
  <si>
    <t>Il est également possible d' indiquer les heures d' arrivées tardives ou de départs anticipés en indiquant après le vote de la résolution n°,,,</t>
  </si>
  <si>
    <t>Un message d' information est inséré pour les copropriétaires n' ayant pas donné leur accord pour recevoir des communications électroniques</t>
  </si>
  <si>
    <t>Belard@free,fr</t>
  </si>
  <si>
    <t>Feuille F.P.,  feuille de présence.</t>
  </si>
  <si>
    <t>Il est maintenant possible de mentionner le mode de participation ; vote par correspondance, vote par moyens électronique,+</t>
  </si>
  <si>
    <t>Les boutons "DEB" ; "Fin" servent à la navigation dans la feuille de votes.</t>
  </si>
  <si>
    <t>Prés.</t>
  </si>
  <si>
    <t>Art,24</t>
  </si>
  <si>
    <t>26 Maj 1/3 voix</t>
  </si>
  <si>
    <t>Tous copros</t>
  </si>
  <si>
    <t>K3 Voix</t>
  </si>
  <si>
    <t>K7 Copros</t>
  </si>
  <si>
    <t>Dans la feuille "MERE" Il faut mettre en colonne S à AA les clés spécifiques,</t>
  </si>
  <si>
    <t>Art,26</t>
  </si>
  <si>
    <t>Art,25</t>
  </si>
  <si>
    <t>ALADIN</t>
  </si>
  <si>
    <t>OPPOSANTS</t>
  </si>
  <si>
    <t>VALIDEE</t>
  </si>
  <si>
    <t xml:space="preserve">Vous pouvez maintenant enregistrer les votes. </t>
  </si>
  <si>
    <t>Tous les participants doivent voter,</t>
  </si>
  <si>
    <r>
      <t>Tant qu' un participant n' a pas voté la mention '</t>
    </r>
    <r>
      <rPr>
        <b/>
        <sz val="10"/>
        <rFont val="Arial"/>
        <family val="2"/>
      </rPr>
      <t>En attente</t>
    </r>
    <r>
      <rPr>
        <sz val="10"/>
        <rFont val="Arial"/>
      </rPr>
      <t>"  apparait,</t>
    </r>
  </si>
  <si>
    <r>
      <t xml:space="preserve">Dans la feuille "Liste" sélectionner tout et cliquer sur Effacer et sur </t>
    </r>
    <r>
      <rPr>
        <b/>
        <sz val="10"/>
        <rFont val="Arial"/>
        <family val="2"/>
      </rPr>
      <t>Effacer le CONTEN</t>
    </r>
    <r>
      <rPr>
        <sz val="10"/>
        <rFont val="Arial"/>
      </rPr>
      <t>U,</t>
    </r>
  </si>
  <si>
    <t>Il y a un contrôle des votes au niveau global, on ne peut valider si tous les participants n' ont pas votés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</si>
</sst>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0.00\ &quot;€&quot;;[Red]\-#,##0.00\ &quot;€&quot;"/>
    <numFmt numFmtId="164" formatCode="0.0"/>
    <numFmt numFmtId="165" formatCode="dd/mm/yy;@"/>
    <numFmt numFmtId="166" formatCode="[$-40C]d\ mmmm\ yyyy;@"/>
    <numFmt numFmtId="167" formatCode="#,##0.0"/>
    <numFmt numFmtId="168" formatCode="0.0000"/>
  </numFmts>
  <fonts count="19" x14ac:knownFonts="1">
    <font>
      <sz val="10"/>
      <name val="Arial"/>
    </font>
    <font>
      <b/>
      <sz val="10"/>
      <name val="Arial"/>
      <family val="2"/>
    </font>
    <font>
      <b/>
      <sz val="8"/>
      <name val="Arial"/>
      <family val="2"/>
    </font>
    <font>
      <b/>
      <sz val="10"/>
      <color indexed="10"/>
      <name val="Arial"/>
      <family val="2"/>
    </font>
    <font>
      <sz val="8"/>
      <name val="Arial"/>
      <family val="2"/>
    </font>
    <font>
      <sz val="8"/>
      <color indexed="81"/>
      <name val="Tahoma"/>
      <family val="2"/>
    </font>
    <font>
      <b/>
      <sz val="14"/>
      <color indexed="10"/>
      <name val="Arial"/>
      <family val="2"/>
    </font>
    <font>
      <sz val="10"/>
      <name val="Arial"/>
      <family val="2"/>
    </font>
    <font>
      <sz val="14"/>
      <name val="Arial"/>
      <family val="2"/>
    </font>
    <font>
      <b/>
      <sz val="14"/>
      <name val="Arial"/>
      <family val="2"/>
    </font>
    <font>
      <b/>
      <sz val="12"/>
      <name val="Arial"/>
      <family val="2"/>
    </font>
    <font>
      <sz val="9"/>
      <color indexed="81"/>
      <name val="Tahoma"/>
      <family val="2"/>
    </font>
    <font>
      <b/>
      <sz val="10"/>
      <color rgb="FFFF0000"/>
      <name val="Arial"/>
      <family val="2"/>
    </font>
    <font>
      <sz val="12"/>
      <name val="Arial"/>
      <family val="2"/>
    </font>
    <font>
      <b/>
      <sz val="14"/>
      <color rgb="FFFF0000"/>
      <name val="Arial"/>
      <family val="2"/>
    </font>
    <font>
      <b/>
      <sz val="16"/>
      <name val="Arial"/>
      <family val="2"/>
    </font>
    <font>
      <sz val="10"/>
      <color theme="0"/>
      <name val="Arial"/>
      <family val="2"/>
    </font>
    <font>
      <u/>
      <sz val="10"/>
      <color theme="10"/>
      <name val="Arial"/>
      <family val="2"/>
    </font>
    <font>
      <b/>
      <sz val="9"/>
      <color indexed="81"/>
      <name val="Tahoma"/>
      <family val="2"/>
    </font>
  </fonts>
  <fills count="18">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39997558519241921"/>
        <bgColor indexed="64"/>
      </patternFill>
    </fill>
  </fills>
  <borders count="36">
    <border>
      <left/>
      <right/>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230">
    <xf numFmtId="0" fontId="0" fillId="0" borderId="0" xfId="0"/>
    <xf numFmtId="0" fontId="0" fillId="2" borderId="0" xfId="0" applyFill="1"/>
    <xf numFmtId="1" fontId="0" fillId="2" borderId="0" xfId="0" applyNumberFormat="1" applyFill="1"/>
    <xf numFmtId="0" fontId="1" fillId="0" borderId="1" xfId="0" applyFont="1" applyBorder="1" applyAlignment="1">
      <alignment horizontal="center" vertical="center"/>
    </xf>
    <xf numFmtId="0" fontId="0" fillId="3" borderId="0" xfId="0" applyFill="1"/>
    <xf numFmtId="3" fontId="0" fillId="0" borderId="2" xfId="0" applyNumberFormat="1" applyBorder="1"/>
    <xf numFmtId="0" fontId="1" fillId="0" borderId="0" xfId="0" applyFont="1" applyBorder="1" applyAlignment="1">
      <alignment horizontal="center" vertical="center"/>
    </xf>
    <xf numFmtId="0" fontId="1" fillId="0" borderId="3" xfId="0" applyFont="1" applyBorder="1" applyAlignment="1">
      <alignment horizontal="center" vertical="center"/>
    </xf>
    <xf numFmtId="164" fontId="0" fillId="4" borderId="0" xfId="0" applyNumberFormat="1" applyFill="1" applyAlignment="1" applyProtection="1">
      <alignment vertical="center"/>
    </xf>
    <xf numFmtId="1" fontId="1" fillId="5" borderId="0" xfId="0" applyNumberFormat="1" applyFont="1" applyFill="1"/>
    <xf numFmtId="0" fontId="0" fillId="5" borderId="0" xfId="0" applyFill="1"/>
    <xf numFmtId="0" fontId="0" fillId="4" borderId="0" xfId="0" applyFill="1" applyAlignment="1" applyProtection="1">
      <alignment horizontal="left" vertical="center"/>
      <protection locked="0"/>
    </xf>
    <xf numFmtId="0" fontId="0" fillId="4" borderId="0" xfId="0" applyFill="1" applyProtection="1">
      <protection locked="0"/>
    </xf>
    <xf numFmtId="0" fontId="0" fillId="4" borderId="0" xfId="0" applyFill="1" applyAlignment="1" applyProtection="1">
      <alignment horizontal="left"/>
      <protection locked="0"/>
    </xf>
    <xf numFmtId="0" fontId="2" fillId="4" borderId="4" xfId="0" applyFont="1" applyFill="1" applyBorder="1" applyAlignment="1">
      <alignment horizontal="center" vertical="center" wrapText="1"/>
    </xf>
    <xf numFmtId="0" fontId="1" fillId="4" borderId="5" xfId="0" applyFont="1" applyFill="1" applyBorder="1" applyAlignment="1">
      <alignment horizontal="center" vertical="center"/>
    </xf>
    <xf numFmtId="0" fontId="0" fillId="0" borderId="0" xfId="0" applyFill="1"/>
    <xf numFmtId="0" fontId="1" fillId="0" borderId="1" xfId="0" applyFont="1" applyFill="1" applyBorder="1" applyAlignment="1">
      <alignment horizontal="center" vertical="center"/>
    </xf>
    <xf numFmtId="1" fontId="0" fillId="0" borderId="7" xfId="0" applyNumberFormat="1" applyBorder="1" applyProtection="1">
      <protection locked="0"/>
    </xf>
    <xf numFmtId="0" fontId="0" fillId="0" borderId="7" xfId="0" applyFill="1" applyBorder="1" applyAlignment="1">
      <alignment horizontal="center" vertical="center"/>
    </xf>
    <xf numFmtId="0" fontId="0" fillId="0" borderId="8" xfId="0" applyFill="1" applyBorder="1"/>
    <xf numFmtId="1" fontId="0" fillId="0" borderId="8" xfId="0" applyNumberFormat="1" applyBorder="1" applyAlignment="1">
      <alignment horizontal="center"/>
    </xf>
    <xf numFmtId="0" fontId="1" fillId="4" borderId="0" xfId="0" applyFont="1" applyFill="1"/>
    <xf numFmtId="0" fontId="1" fillId="5" borderId="4" xfId="0" applyFont="1" applyFill="1" applyBorder="1" applyAlignment="1">
      <alignment horizontal="center" vertical="center"/>
    </xf>
    <xf numFmtId="0" fontId="1" fillId="6" borderId="5" xfId="0" applyFont="1" applyFill="1" applyBorder="1" applyAlignment="1">
      <alignment horizontal="center" vertical="center"/>
    </xf>
    <xf numFmtId="0" fontId="0" fillId="0" borderId="9" xfId="0" applyBorder="1" applyProtection="1">
      <protection locked="0"/>
    </xf>
    <xf numFmtId="0" fontId="0" fillId="0" borderId="10" xfId="0" applyBorder="1"/>
    <xf numFmtId="0" fontId="1" fillId="4" borderId="11" xfId="0" applyFont="1" applyFill="1" applyBorder="1" applyAlignment="1" applyProtection="1">
      <alignment horizontal="center" vertical="center" wrapText="1"/>
    </xf>
    <xf numFmtId="0" fontId="0" fillId="0" borderId="8" xfId="0" applyFill="1" applyBorder="1" applyProtection="1">
      <protection locked="0"/>
    </xf>
    <xf numFmtId="0" fontId="4" fillId="0" borderId="8" xfId="0" applyFont="1" applyFill="1" applyBorder="1"/>
    <xf numFmtId="3" fontId="0" fillId="0" borderId="8" xfId="0" applyNumberFormat="1" applyFill="1" applyBorder="1" applyProtection="1">
      <protection locked="0"/>
    </xf>
    <xf numFmtId="3" fontId="0" fillId="0" borderId="8" xfId="0" applyNumberFormat="1" applyBorder="1" applyAlignment="1">
      <alignment horizontal="center"/>
    </xf>
    <xf numFmtId="0" fontId="0" fillId="0" borderId="8" xfId="0" applyBorder="1" applyAlignment="1">
      <alignment horizontal="center"/>
    </xf>
    <xf numFmtId="3" fontId="0" fillId="0" borderId="8" xfId="0" applyNumberFormat="1" applyFill="1" applyBorder="1" applyAlignment="1" applyProtection="1">
      <alignment horizontal="center"/>
      <protection locked="0"/>
    </xf>
    <xf numFmtId="1" fontId="0" fillId="0" borderId="8" xfId="0" applyNumberFormat="1" applyFill="1" applyBorder="1" applyAlignment="1" applyProtection="1">
      <alignment horizontal="center"/>
      <protection locked="0"/>
    </xf>
    <xf numFmtId="1" fontId="7" fillId="0" borderId="8" xfId="0" applyNumberFormat="1" applyFont="1" applyBorder="1" applyAlignment="1">
      <alignment horizontal="center"/>
    </xf>
    <xf numFmtId="0" fontId="0" fillId="0" borderId="12" xfId="0" applyBorder="1" applyAlignment="1">
      <alignment horizontal="center" vertical="center"/>
    </xf>
    <xf numFmtId="0" fontId="0" fillId="0" borderId="9" xfId="0" applyBorder="1"/>
    <xf numFmtId="1" fontId="0" fillId="0" borderId="9" xfId="0" applyNumberFormat="1" applyBorder="1" applyAlignment="1">
      <alignment horizontal="center"/>
    </xf>
    <xf numFmtId="0" fontId="1" fillId="0" borderId="8" xfId="0" applyFont="1" applyBorder="1" applyAlignment="1">
      <alignment vertical="center"/>
    </xf>
    <xf numFmtId="0" fontId="1" fillId="0" borderId="8" xfId="0" applyFont="1" applyBorder="1" applyAlignment="1">
      <alignment vertical="center" wrapText="1"/>
    </xf>
    <xf numFmtId="14" fontId="0" fillId="0" borderId="0" xfId="0" applyNumberFormat="1"/>
    <xf numFmtId="0" fontId="0" fillId="0" borderId="0" xfId="0" applyAlignment="1">
      <alignment horizontal="center"/>
    </xf>
    <xf numFmtId="0" fontId="0" fillId="2" borderId="0" xfId="0" applyFill="1" applyAlignment="1">
      <alignment horizontal="center"/>
    </xf>
    <xf numFmtId="0" fontId="0" fillId="9" borderId="0" xfId="0" applyFill="1" applyAlignment="1"/>
    <xf numFmtId="0" fontId="0" fillId="9" borderId="0" xfId="0" applyFill="1"/>
    <xf numFmtId="165" fontId="0" fillId="9" borderId="0" xfId="0" applyNumberFormat="1" applyFill="1" applyAlignment="1"/>
    <xf numFmtId="0" fontId="1" fillId="0"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4" borderId="13" xfId="0" applyFont="1" applyFill="1" applyBorder="1" applyAlignment="1">
      <alignment vertical="center" wrapText="1"/>
    </xf>
    <xf numFmtId="0" fontId="1" fillId="0" borderId="5" xfId="0" applyFont="1" applyBorder="1" applyAlignment="1">
      <alignment horizontal="center" vertical="center" wrapText="1"/>
    </xf>
    <xf numFmtId="1" fontId="0" fillId="9" borderId="0" xfId="0" applyNumberFormat="1" applyFill="1" applyAlignment="1"/>
    <xf numFmtId="0" fontId="1" fillId="4" borderId="6" xfId="0" applyFont="1" applyFill="1" applyBorder="1" applyAlignment="1">
      <alignment horizontal="center" vertical="center" wrapText="1"/>
    </xf>
    <xf numFmtId="0" fontId="0" fillId="0" borderId="0" xfId="0" applyAlignment="1">
      <alignment vertical="center"/>
    </xf>
    <xf numFmtId="0" fontId="1" fillId="0" borderId="13" xfId="0" applyFont="1" applyFill="1" applyBorder="1" applyAlignment="1">
      <alignment horizontal="center" vertical="center" wrapText="1"/>
    </xf>
    <xf numFmtId="0" fontId="1" fillId="0" borderId="13" xfId="0" applyFont="1" applyFill="1" applyBorder="1" applyAlignment="1">
      <alignment vertical="center" wrapText="1"/>
    </xf>
    <xf numFmtId="0" fontId="0" fillId="0" borderId="8" xfId="0" applyFill="1" applyBorder="1" applyAlignment="1">
      <alignment horizontal="center" vertical="center"/>
    </xf>
    <xf numFmtId="0" fontId="0" fillId="0" borderId="8" xfId="0" applyBorder="1" applyAlignment="1">
      <alignment horizontal="center" vertical="center"/>
    </xf>
    <xf numFmtId="3" fontId="0" fillId="2" borderId="8" xfId="0" applyNumberFormat="1" applyFill="1" applyBorder="1" applyAlignment="1">
      <alignment horizontal="center" vertical="center"/>
    </xf>
    <xf numFmtId="1" fontId="0" fillId="0" borderId="8" xfId="0" applyNumberFormat="1" applyBorder="1" applyAlignment="1">
      <alignment horizontal="center" vertical="center"/>
    </xf>
    <xf numFmtId="0" fontId="0" fillId="8" borderId="0" xfId="0" applyFill="1" applyAlignment="1">
      <alignment vertical="center"/>
    </xf>
    <xf numFmtId="3" fontId="0" fillId="0" borderId="8" xfId="0" applyNumberFormat="1" applyBorder="1" applyAlignment="1">
      <alignment horizontal="center" vertical="center"/>
    </xf>
    <xf numFmtId="0" fontId="0" fillId="0" borderId="0" xfId="0" applyFill="1" applyAlignment="1">
      <alignment vertical="center"/>
    </xf>
    <xf numFmtId="1" fontId="1" fillId="5" borderId="0" xfId="0" applyNumberFormat="1" applyFont="1" applyFill="1" applyAlignment="1">
      <alignment vertical="center"/>
    </xf>
    <xf numFmtId="0" fontId="0" fillId="5" borderId="0" xfId="0" applyFill="1" applyAlignment="1">
      <alignment vertical="center"/>
    </xf>
    <xf numFmtId="0" fontId="6" fillId="0" borderId="0" xfId="0" applyFont="1" applyAlignment="1">
      <alignment vertical="center"/>
    </xf>
    <xf numFmtId="0" fontId="0" fillId="0" borderId="7" xfId="0" applyBorder="1" applyAlignment="1">
      <alignment vertical="center"/>
    </xf>
    <xf numFmtId="0" fontId="0" fillId="0" borderId="9" xfId="0" applyFill="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vertical="center"/>
    </xf>
    <xf numFmtId="1" fontId="0" fillId="0" borderId="7" xfId="0" applyNumberFormat="1" applyFill="1" applyBorder="1" applyAlignment="1">
      <alignment horizontal="center" vertical="center"/>
    </xf>
    <xf numFmtId="3" fontId="0" fillId="0" borderId="15" xfId="0" applyNumberFormat="1" applyBorder="1" applyAlignment="1">
      <alignment horizontal="center" vertical="center"/>
    </xf>
    <xf numFmtId="1" fontId="0" fillId="0" borderId="9" xfId="0" applyNumberFormat="1" applyFill="1" applyBorder="1" applyAlignment="1">
      <alignment horizontal="center" vertical="center"/>
    </xf>
    <xf numFmtId="3" fontId="0" fillId="0" borderId="9" xfId="0" applyNumberFormat="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3" fontId="0" fillId="0" borderId="8" xfId="0" applyNumberFormat="1" applyFill="1" applyBorder="1" applyAlignment="1" applyProtection="1">
      <alignment horizontal="center" vertical="center"/>
      <protection locked="0"/>
    </xf>
    <xf numFmtId="0" fontId="1" fillId="10" borderId="16" xfId="0" applyFont="1" applyFill="1" applyBorder="1" applyAlignment="1">
      <alignment horizontal="center"/>
    </xf>
    <xf numFmtId="0" fontId="1" fillId="10" borderId="8" xfId="0" applyFont="1" applyFill="1" applyBorder="1" applyAlignment="1">
      <alignment horizontal="center"/>
    </xf>
    <xf numFmtId="0" fontId="0" fillId="0" borderId="15" xfId="0" applyBorder="1"/>
    <xf numFmtId="0" fontId="0" fillId="0" borderId="0" xfId="0" applyBorder="1"/>
    <xf numFmtId="0" fontId="0" fillId="0" borderId="2" xfId="0" applyBorder="1"/>
    <xf numFmtId="0" fontId="0" fillId="0" borderId="17" xfId="0" applyBorder="1"/>
    <xf numFmtId="0" fontId="0" fillId="0" borderId="8" xfId="0" applyBorder="1"/>
    <xf numFmtId="0" fontId="1" fillId="10" borderId="18" xfId="0" applyFont="1" applyFill="1" applyBorder="1" applyAlignment="1">
      <alignment horizontal="center"/>
    </xf>
    <xf numFmtId="0" fontId="4" fillId="0" borderId="7" xfId="0" applyFont="1" applyFill="1" applyBorder="1"/>
    <xf numFmtId="0" fontId="4" fillId="0" borderId="15" xfId="0" applyFont="1" applyFill="1" applyBorder="1"/>
    <xf numFmtId="0" fontId="0" fillId="0" borderId="3" xfId="0" applyBorder="1"/>
    <xf numFmtId="0" fontId="7" fillId="0" borderId="15" xfId="0" applyFont="1" applyBorder="1"/>
    <xf numFmtId="0" fontId="7" fillId="0" borderId="0" xfId="0" applyFont="1"/>
    <xf numFmtId="0" fontId="7" fillId="0" borderId="0" xfId="0" applyFont="1" applyFill="1" applyBorder="1"/>
    <xf numFmtId="0" fontId="7" fillId="0" borderId="2" xfId="0" applyFont="1" applyBorder="1"/>
    <xf numFmtId="0" fontId="4" fillId="0" borderId="3" xfId="0" applyFont="1" applyFill="1" applyBorder="1"/>
    <xf numFmtId="0" fontId="7" fillId="0" borderId="15" xfId="0" applyFont="1" applyFill="1" applyBorder="1"/>
    <xf numFmtId="0" fontId="0" fillId="10" borderId="15" xfId="0" applyFill="1" applyBorder="1"/>
    <xf numFmtId="1" fontId="0" fillId="10" borderId="15" xfId="0" applyNumberFormat="1" applyFill="1" applyBorder="1" applyAlignment="1">
      <alignment horizontal="right" indent="1"/>
    </xf>
    <xf numFmtId="1" fontId="0" fillId="10" borderId="0" xfId="0" applyNumberFormat="1" applyFill="1" applyBorder="1" applyAlignment="1">
      <alignment horizontal="right" indent="1"/>
    </xf>
    <xf numFmtId="0" fontId="0" fillId="0" borderId="15" xfId="0" applyFont="1" applyFill="1" applyBorder="1"/>
    <xf numFmtId="3" fontId="0" fillId="0" borderId="0" xfId="0" applyNumberFormat="1" applyAlignment="1">
      <alignment vertical="center"/>
    </xf>
    <xf numFmtId="0" fontId="0" fillId="0" borderId="15" xfId="0" applyFill="1" applyBorder="1"/>
    <xf numFmtId="1" fontId="7" fillId="10" borderId="15" xfId="0" applyNumberFormat="1" applyFont="1" applyFill="1" applyBorder="1" applyAlignment="1">
      <alignment horizontal="right" indent="1"/>
    </xf>
    <xf numFmtId="0" fontId="7" fillId="0" borderId="0" xfId="0" applyFont="1" applyBorder="1"/>
    <xf numFmtId="1" fontId="0" fillId="10" borderId="8" xfId="0" applyNumberFormat="1" applyFill="1" applyBorder="1"/>
    <xf numFmtId="1" fontId="0" fillId="10" borderId="9" xfId="0" applyNumberFormat="1" applyFill="1" applyBorder="1" applyAlignment="1">
      <alignment horizontal="right" indent="1"/>
    </xf>
    <xf numFmtId="0" fontId="0" fillId="0" borderId="12" xfId="0" applyBorder="1"/>
    <xf numFmtId="0" fontId="1" fillId="0" borderId="0" xfId="0" applyFont="1"/>
    <xf numFmtId="0" fontId="0" fillId="0" borderId="20" xfId="0" applyBorder="1"/>
    <xf numFmtId="0" fontId="9" fillId="0" borderId="0" xfId="0" applyFont="1" applyAlignment="1">
      <alignment horizontal="center"/>
    </xf>
    <xf numFmtId="1" fontId="4" fillId="0" borderId="0" xfId="0" applyNumberFormat="1" applyFont="1"/>
    <xf numFmtId="0" fontId="4" fillId="0" borderId="0" xfId="0" applyFont="1"/>
    <xf numFmtId="0" fontId="8" fillId="0" borderId="0" xfId="0" applyFont="1"/>
    <xf numFmtId="1" fontId="0" fillId="0" borderId="19" xfId="0" applyNumberFormat="1" applyBorder="1" applyAlignment="1">
      <alignment horizontal="center"/>
    </xf>
    <xf numFmtId="0" fontId="1" fillId="0" borderId="2" xfId="0" applyFont="1" applyBorder="1"/>
    <xf numFmtId="1" fontId="4" fillId="0" borderId="2" xfId="0" applyNumberFormat="1" applyFont="1" applyBorder="1" applyAlignment="1">
      <alignment horizontal="right"/>
    </xf>
    <xf numFmtId="0" fontId="4" fillId="0" borderId="0" xfId="0" applyFont="1" applyAlignment="1">
      <alignment horizontal="right"/>
    </xf>
    <xf numFmtId="0" fontId="7" fillId="0" borderId="0" xfId="0" applyFont="1" applyAlignment="1">
      <alignment horizontal="right" indent="1"/>
    </xf>
    <xf numFmtId="1" fontId="0" fillId="0" borderId="0" xfId="0" applyNumberFormat="1" applyAlignment="1">
      <alignment horizontal="center"/>
    </xf>
    <xf numFmtId="0" fontId="4" fillId="0" borderId="0" xfId="0" applyFont="1" applyBorder="1"/>
    <xf numFmtId="1" fontId="0" fillId="0" borderId="2" xfId="0" applyNumberFormat="1" applyBorder="1" applyAlignment="1">
      <alignment horizontal="center"/>
    </xf>
    <xf numFmtId="1" fontId="0" fillId="0" borderId="0" xfId="0" applyNumberFormat="1" applyBorder="1"/>
    <xf numFmtId="0" fontId="0" fillId="0" borderId="21" xfId="0" applyBorder="1"/>
    <xf numFmtId="0" fontId="4" fillId="0" borderId="21" xfId="0" applyFont="1" applyBorder="1"/>
    <xf numFmtId="0" fontId="4" fillId="0" borderId="21" xfId="0" applyFont="1" applyBorder="1" applyAlignment="1">
      <alignment horizontal="right"/>
    </xf>
    <xf numFmtId="0" fontId="4" fillId="0" borderId="0" xfId="0" applyFont="1" applyBorder="1" applyAlignment="1">
      <alignment horizontal="right"/>
    </xf>
    <xf numFmtId="1" fontId="0" fillId="0" borderId="0" xfId="0" applyNumberFormat="1"/>
    <xf numFmtId="0" fontId="0" fillId="0" borderId="22" xfId="0" applyBorder="1"/>
    <xf numFmtId="0" fontId="0" fillId="0" borderId="23" xfId="0" applyBorder="1"/>
    <xf numFmtId="0" fontId="0" fillId="0" borderId="0" xfId="0" applyNumberFormat="1" applyAlignment="1">
      <alignment horizontal="center"/>
    </xf>
    <xf numFmtId="1" fontId="0" fillId="9" borderId="0" xfId="0" applyNumberFormat="1" applyFill="1"/>
    <xf numFmtId="1" fontId="0" fillId="0" borderId="8" xfId="0" applyNumberFormat="1" applyFill="1" applyBorder="1" applyAlignment="1" applyProtection="1">
      <alignment horizontal="center" vertical="center" wrapText="1"/>
      <protection locked="0"/>
    </xf>
    <xf numFmtId="1" fontId="0" fillId="0" borderId="8" xfId="0" applyNumberFormat="1" applyFill="1" applyBorder="1" applyAlignment="1" applyProtection="1">
      <alignment horizontal="center" vertical="center"/>
      <protection locked="0"/>
    </xf>
    <xf numFmtId="0" fontId="0" fillId="0" borderId="0" xfId="0" applyAlignment="1">
      <alignment horizontal="right" indent="1"/>
    </xf>
    <xf numFmtId="0" fontId="10" fillId="0" borderId="0" xfId="0" applyFont="1"/>
    <xf numFmtId="0" fontId="1" fillId="11" borderId="8" xfId="0" applyFont="1" applyFill="1" applyBorder="1" applyAlignment="1" applyProtection="1">
      <alignment horizontal="centerContinuous" wrapText="1"/>
      <protection locked="0"/>
    </xf>
    <xf numFmtId="0" fontId="1" fillId="11" borderId="8" xfId="0" applyFont="1" applyFill="1" applyBorder="1" applyAlignment="1" applyProtection="1">
      <alignment horizontal="center" wrapText="1"/>
      <protection locked="0"/>
    </xf>
    <xf numFmtId="0" fontId="1" fillId="11" borderId="8" xfId="0" applyFont="1" applyFill="1" applyBorder="1" applyAlignment="1" applyProtection="1">
      <alignment horizontal="center" vertical="center" wrapText="1"/>
      <protection locked="0"/>
    </xf>
    <xf numFmtId="0" fontId="1" fillId="12" borderId="11" xfId="0" applyFont="1" applyFill="1" applyBorder="1" applyAlignment="1" applyProtection="1">
      <alignment horizontal="center" vertical="center" wrapText="1"/>
    </xf>
    <xf numFmtId="0" fontId="7" fillId="10" borderId="0" xfId="0" applyFont="1" applyFill="1"/>
    <xf numFmtId="168" fontId="0" fillId="0" borderId="0" xfId="0" applyNumberFormat="1"/>
    <xf numFmtId="3" fontId="0" fillId="13" borderId="0" xfId="0" applyNumberFormat="1" applyFill="1" applyAlignment="1">
      <alignment horizontal="center" vertical="center"/>
    </xf>
    <xf numFmtId="3" fontId="0" fillId="9" borderId="0" xfId="0" applyNumberFormat="1" applyFill="1" applyAlignment="1">
      <alignment horizontal="center" vertical="center"/>
    </xf>
    <xf numFmtId="0" fontId="0" fillId="14" borderId="0" xfId="0" applyFill="1"/>
    <xf numFmtId="0" fontId="1" fillId="0" borderId="8" xfId="0" applyFont="1" applyFill="1" applyBorder="1" applyAlignment="1">
      <alignment horizontal="center"/>
    </xf>
    <xf numFmtId="14" fontId="13" fillId="0" borderId="0" xfId="0" applyNumberFormat="1" applyFont="1"/>
    <xf numFmtId="0" fontId="1" fillId="4" borderId="13" xfId="0" applyFont="1" applyFill="1" applyBorder="1" applyAlignment="1">
      <alignment horizontal="center" vertical="center" wrapText="1"/>
    </xf>
    <xf numFmtId="0" fontId="0" fillId="0" borderId="0" xfId="0" applyAlignment="1">
      <alignment horizontal="center" vertical="center"/>
    </xf>
    <xf numFmtId="0" fontId="1" fillId="4" borderId="4" xfId="0" applyFont="1" applyFill="1" applyBorder="1" applyAlignment="1" applyProtection="1">
      <alignment horizontal="center" vertical="center" wrapText="1"/>
    </xf>
    <xf numFmtId="167" fontId="0" fillId="0" borderId="8" xfId="0" applyNumberFormat="1" applyBorder="1"/>
    <xf numFmtId="0" fontId="14" fillId="0" borderId="0" xfId="0" applyFont="1" applyAlignment="1">
      <alignment vertical="center"/>
    </xf>
    <xf numFmtId="0" fontId="1" fillId="14" borderId="4" xfId="0" applyFont="1" applyFill="1" applyBorder="1" applyAlignment="1">
      <alignment horizontal="center" vertical="center" wrapText="1"/>
    </xf>
    <xf numFmtId="166" fontId="0" fillId="0" borderId="0" xfId="0" applyNumberFormat="1" applyAlignment="1">
      <alignment horizontal="left"/>
    </xf>
    <xf numFmtId="14" fontId="7" fillId="0" borderId="0" xfId="0" applyNumberFormat="1" applyFont="1"/>
    <xf numFmtId="166" fontId="0" fillId="0" borderId="0" xfId="0" applyNumberFormat="1" applyAlignment="1">
      <alignment horizontal="center"/>
    </xf>
    <xf numFmtId="0" fontId="1" fillId="0" borderId="8" xfId="0" applyFont="1" applyBorder="1" applyAlignment="1">
      <alignment horizontal="center" vertical="center"/>
    </xf>
    <xf numFmtId="3" fontId="0" fillId="0" borderId="0" xfId="0" applyNumberFormat="1"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1" fontId="3" fillId="0" borderId="3" xfId="0" applyNumberFormat="1" applyFont="1" applyFill="1" applyBorder="1"/>
    <xf numFmtId="0" fontId="0" fillId="0" borderId="0" xfId="0" applyFill="1" applyBorder="1" applyAlignment="1" applyProtection="1">
      <alignment horizontal="center"/>
      <protection locked="0"/>
    </xf>
    <xf numFmtId="0" fontId="1" fillId="7" borderId="24" xfId="0" applyFont="1" applyFill="1" applyBorder="1" applyAlignment="1">
      <alignment horizontal="center" vertical="center" wrapText="1"/>
    </xf>
    <xf numFmtId="0" fontId="0" fillId="0" borderId="18" xfId="0" applyBorder="1" applyAlignment="1">
      <alignment horizontal="center" vertical="center"/>
    </xf>
    <xf numFmtId="0" fontId="1" fillId="7" borderId="24" xfId="0" applyFont="1" applyFill="1" applyBorder="1" applyAlignment="1">
      <alignment horizontal="center" vertical="center"/>
    </xf>
    <xf numFmtId="0" fontId="0" fillId="0" borderId="18" xfId="0" applyBorder="1" applyAlignment="1">
      <alignment horizontal="center"/>
    </xf>
    <xf numFmtId="0" fontId="7" fillId="0" borderId="8" xfId="0" applyFont="1" applyFill="1" applyBorder="1" applyAlignment="1">
      <alignment horizontal="center"/>
    </xf>
    <xf numFmtId="0" fontId="4" fillId="0" borderId="0" xfId="0" applyFont="1" applyAlignment="1">
      <alignment horizontal="center"/>
    </xf>
    <xf numFmtId="0" fontId="0" fillId="0" borderId="5" xfId="0" applyBorder="1"/>
    <xf numFmtId="0" fontId="0" fillId="0" borderId="16" xfId="0" applyBorder="1"/>
    <xf numFmtId="0" fontId="7" fillId="0" borderId="24" xfId="0" applyFont="1" applyBorder="1"/>
    <xf numFmtId="0" fontId="7" fillId="0" borderId="18" xfId="0" applyFont="1" applyBorder="1"/>
    <xf numFmtId="0" fontId="7" fillId="0" borderId="25" xfId="0" applyFont="1" applyBorder="1"/>
    <xf numFmtId="0" fontId="0" fillId="0" borderId="26" xfId="0" applyBorder="1"/>
    <xf numFmtId="0" fontId="0" fillId="0" borderId="27" xfId="0" applyBorder="1"/>
    <xf numFmtId="0" fontId="0" fillId="0" borderId="28" xfId="0" applyBorder="1"/>
    <xf numFmtId="0" fontId="7" fillId="0" borderId="17" xfId="0" applyFont="1" applyBorder="1"/>
    <xf numFmtId="0" fontId="0" fillId="0" borderId="29" xfId="0" applyBorder="1"/>
    <xf numFmtId="0" fontId="0" fillId="0" borderId="30" xfId="0" applyBorder="1"/>
    <xf numFmtId="0" fontId="0" fillId="0" borderId="0" xfId="0" applyAlignment="1">
      <alignment horizontal="left"/>
    </xf>
    <xf numFmtId="1" fontId="0" fillId="15" borderId="8" xfId="0" applyNumberFormat="1" applyFill="1" applyBorder="1"/>
    <xf numFmtId="1" fontId="0" fillId="15" borderId="15" xfId="0" applyNumberFormat="1" applyFill="1" applyBorder="1" applyAlignment="1">
      <alignment horizontal="right" indent="1"/>
    </xf>
    <xf numFmtId="0" fontId="7" fillId="0" borderId="0" xfId="0" applyFont="1" applyBorder="1" applyAlignment="1">
      <alignment horizontal="center"/>
    </xf>
    <xf numFmtId="0" fontId="7" fillId="0" borderId="5" xfId="0" applyFont="1" applyBorder="1"/>
    <xf numFmtId="0" fontId="7" fillId="0" borderId="12" xfId="0" applyFont="1" applyBorder="1"/>
    <xf numFmtId="0" fontId="0" fillId="0" borderId="1" xfId="0" applyBorder="1"/>
    <xf numFmtId="0" fontId="9" fillId="0" borderId="31" xfId="0" applyFont="1" applyBorder="1" applyAlignment="1">
      <alignment horizontal="center"/>
    </xf>
    <xf numFmtId="0" fontId="9" fillId="0" borderId="0" xfId="0" applyFont="1"/>
    <xf numFmtId="0" fontId="15" fillId="0" borderId="0" xfId="0" applyFont="1"/>
    <xf numFmtId="8" fontId="7" fillId="0" borderId="15" xfId="0" applyNumberFormat="1" applyFont="1" applyBorder="1"/>
    <xf numFmtId="8" fontId="7" fillId="0" borderId="15" xfId="0" applyNumberFormat="1" applyFont="1" applyFill="1" applyBorder="1"/>
    <xf numFmtId="1" fontId="0" fillId="0" borderId="15" xfId="0" applyNumberFormat="1" applyFill="1" applyBorder="1" applyAlignment="1">
      <alignment horizontal="right" indent="1"/>
    </xf>
    <xf numFmtId="0" fontId="0" fillId="0" borderId="3" xfId="0" applyBorder="1" applyAlignment="1">
      <alignment horizontal="left"/>
    </xf>
    <xf numFmtId="1" fontId="0" fillId="0" borderId="32" xfId="0" applyNumberFormat="1" applyBorder="1" applyAlignment="1">
      <alignment horizontal="center"/>
    </xf>
    <xf numFmtId="0" fontId="4" fillId="0" borderId="2" xfId="0" applyFont="1" applyBorder="1" applyAlignment="1">
      <alignment horizontal="right"/>
    </xf>
    <xf numFmtId="0" fontId="4" fillId="0" borderId="33" xfId="0" applyFont="1" applyBorder="1" applyAlignment="1">
      <alignment horizontal="right"/>
    </xf>
    <xf numFmtId="0" fontId="0" fillId="0" borderId="0" xfId="0" applyBorder="1" applyAlignment="1">
      <alignment horizontal="left"/>
    </xf>
    <xf numFmtId="0" fontId="7" fillId="0" borderId="16" xfId="0" applyFont="1" applyBorder="1"/>
    <xf numFmtId="0" fontId="0" fillId="0" borderId="34" xfId="0" applyBorder="1"/>
    <xf numFmtId="3" fontId="0" fillId="0" borderId="0" xfId="0" applyNumberFormat="1" applyBorder="1"/>
    <xf numFmtId="3" fontId="0" fillId="0" borderId="0" xfId="0" applyNumberFormat="1"/>
    <xf numFmtId="3" fontId="16" fillId="0" borderId="0" xfId="0" applyNumberFormat="1" applyFont="1"/>
    <xf numFmtId="1" fontId="0" fillId="0" borderId="32" xfId="0" applyNumberFormat="1" applyBorder="1"/>
    <xf numFmtId="0" fontId="9" fillId="0" borderId="2" xfId="0" applyFont="1" applyBorder="1"/>
    <xf numFmtId="0" fontId="4" fillId="0" borderId="2" xfId="0" applyFont="1" applyBorder="1"/>
    <xf numFmtId="0" fontId="4" fillId="0" borderId="33" xfId="0" applyFont="1" applyBorder="1"/>
    <xf numFmtId="1" fontId="0" fillId="0" borderId="2" xfId="0" applyNumberFormat="1" applyBorder="1"/>
    <xf numFmtId="0" fontId="4" fillId="0" borderId="14" xfId="0" applyFont="1" applyBorder="1" applyAlignment="1">
      <alignment horizontal="right"/>
    </xf>
    <xf numFmtId="0" fontId="4" fillId="0" borderId="17" xfId="0" applyFont="1" applyBorder="1"/>
    <xf numFmtId="0" fontId="9" fillId="0" borderId="0" xfId="0" applyFont="1" applyBorder="1"/>
    <xf numFmtId="0" fontId="9" fillId="0" borderId="0" xfId="0" applyFont="1" applyBorder="1" applyAlignment="1">
      <alignment horizontal="center"/>
    </xf>
    <xf numFmtId="0" fontId="4" fillId="0" borderId="14" xfId="0" applyFont="1" applyBorder="1"/>
    <xf numFmtId="0" fontId="1" fillId="10" borderId="15" xfId="0" applyFont="1" applyFill="1" applyBorder="1" applyAlignment="1">
      <alignment horizontal="center"/>
    </xf>
    <xf numFmtId="0" fontId="17" fillId="0" borderId="0" xfId="1"/>
    <xf numFmtId="0" fontId="0" fillId="0" borderId="34" xfId="0" applyBorder="1"/>
    <xf numFmtId="0" fontId="9" fillId="0" borderId="34" xfId="0" applyFont="1" applyBorder="1" applyAlignment="1">
      <alignment horizontal="center" vertical="center"/>
    </xf>
    <xf numFmtId="1" fontId="3" fillId="0" borderId="8" xfId="0" applyNumberFormat="1" applyFont="1" applyFill="1" applyBorder="1" applyAlignment="1">
      <alignment horizontal="center"/>
    </xf>
    <xf numFmtId="0" fontId="1" fillId="0" borderId="35" xfId="0" applyFont="1" applyFill="1" applyBorder="1" applyAlignment="1">
      <alignment horizontal="center" vertical="center"/>
    </xf>
    <xf numFmtId="0" fontId="0" fillId="0" borderId="0" xfId="0" applyFill="1" applyAlignment="1"/>
    <xf numFmtId="9" fontId="7" fillId="16" borderId="8" xfId="0" applyNumberFormat="1" applyFont="1" applyFill="1" applyBorder="1" applyAlignment="1">
      <alignment horizontal="center"/>
    </xf>
    <xf numFmtId="0" fontId="12" fillId="0" borderId="0" xfId="0" applyFont="1" applyAlignment="1">
      <alignment horizontal="center"/>
    </xf>
    <xf numFmtId="0" fontId="0" fillId="17" borderId="0" xfId="0" applyFill="1"/>
    <xf numFmtId="0" fontId="1" fillId="0" borderId="8" xfId="0" applyFont="1" applyBorder="1" applyAlignment="1">
      <alignment horizontal="center" vertical="center"/>
    </xf>
    <xf numFmtId="1" fontId="7" fillId="0" borderId="8" xfId="0" applyNumberFormat="1" applyFont="1" applyFill="1" applyBorder="1" applyAlignment="1">
      <alignment horizontal="center"/>
    </xf>
    <xf numFmtId="3" fontId="0" fillId="0" borderId="2" xfId="0" applyNumberFormat="1" applyFill="1" applyBorder="1"/>
    <xf numFmtId="1" fontId="0" fillId="0" borderId="9" xfId="0" applyNumberFormat="1" applyFill="1" applyBorder="1" applyAlignment="1">
      <alignment horizontal="center"/>
    </xf>
    <xf numFmtId="1" fontId="0" fillId="0" borderId="8" xfId="0" applyNumberFormat="1" applyFill="1" applyBorder="1" applyAlignment="1">
      <alignment horizontal="center"/>
    </xf>
    <xf numFmtId="167" fontId="0" fillId="0" borderId="8" xfId="0" applyNumberFormat="1" applyFill="1" applyBorder="1"/>
    <xf numFmtId="0" fontId="0" fillId="0" borderId="34" xfId="0" applyBorder="1"/>
    <xf numFmtId="0" fontId="0" fillId="0" borderId="12" xfId="0" applyBorder="1"/>
    <xf numFmtId="0" fontId="1" fillId="0" borderId="8" xfId="0" applyFont="1" applyBorder="1" applyAlignment="1">
      <alignment horizontal="center" vertical="center"/>
    </xf>
    <xf numFmtId="0" fontId="7" fillId="0" borderId="8" xfId="0" applyFont="1" applyBorder="1" applyAlignment="1">
      <alignment horizontal="center" vertical="center"/>
    </xf>
  </cellXfs>
  <cellStyles count="2">
    <cellStyle name="Lien hypertexte" xfId="1" builtinId="8"/>
    <cellStyle name="Normal" xfId="0" builtinId="0"/>
  </cellStyles>
  <dxfs count="2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006100"/>
      </font>
      <fill>
        <patternFill>
          <bgColor rgb="FFC6EFCE"/>
        </patternFill>
      </fill>
    </dxf>
    <dxf>
      <fill>
        <patternFill>
          <bgColor rgb="FFFFC7CE"/>
        </patternFill>
      </fill>
    </dxf>
    <dxf>
      <fill>
        <patternFill>
          <bgColor rgb="FFFFC7CE"/>
        </patternFill>
      </fill>
    </dxf>
    <dxf>
      <fill>
        <patternFill>
          <bgColor indexed="52"/>
        </patternFill>
      </fill>
    </dxf>
    <dxf>
      <fill>
        <patternFill>
          <bgColor indexed="22"/>
        </patternFill>
      </fill>
    </dxf>
    <dxf>
      <font>
        <color rgb="FF9C0006"/>
      </font>
      <fill>
        <patternFill>
          <bgColor rgb="FFFFC7CE"/>
        </patternFill>
      </fill>
    </dxf>
    <dxf>
      <fill>
        <patternFill>
          <bgColor rgb="FFFFC7CE"/>
        </patternFill>
      </fill>
    </dxf>
    <dxf>
      <font>
        <color rgb="FF006100"/>
      </font>
      <fill>
        <patternFill>
          <bgColor rgb="FFC6EFCE"/>
        </patternFill>
      </fill>
    </dxf>
    <dxf>
      <fill>
        <patternFill>
          <bgColor rgb="FFFFC7CE"/>
        </patternFill>
      </fill>
    </dxf>
    <dxf>
      <fill>
        <patternFill>
          <bgColor rgb="FFFFC7CE"/>
        </patternFill>
      </fill>
    </dxf>
    <dxf>
      <fill>
        <patternFill>
          <bgColor indexed="52"/>
        </patternFill>
      </fill>
    </dxf>
    <dxf>
      <fill>
        <patternFill>
          <bgColor indexed="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238125</xdr:colOff>
      <xdr:row>3</xdr:row>
      <xdr:rowOff>161924</xdr:rowOff>
    </xdr:from>
    <xdr:to>
      <xdr:col>4</xdr:col>
      <xdr:colOff>1590675</xdr:colOff>
      <xdr:row>6</xdr:row>
      <xdr:rowOff>47624</xdr:rowOff>
    </xdr:to>
    <xdr:sp macro="[0]!MiseàJour" textlink="">
      <xdr:nvSpPr>
        <xdr:cNvPr id="3" name="Rectangle 2"/>
        <xdr:cNvSpPr/>
      </xdr:nvSpPr>
      <xdr:spPr bwMode="auto">
        <a:xfrm>
          <a:off x="4343400" y="647699"/>
          <a:ext cx="1352550" cy="409575"/>
        </a:xfrm>
        <a:prstGeom prst="rect">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lang="fr-FR" sz="1100"/>
            <a:t>  MISE A JOURaire</a:t>
          </a:r>
        </a:p>
      </xdr:txBody>
    </xdr:sp>
    <xdr:clientData/>
  </xdr:twoCellAnchor>
  <xdr:oneCellAnchor>
    <xdr:from>
      <xdr:col>4</xdr:col>
      <xdr:colOff>219075</xdr:colOff>
      <xdr:row>0</xdr:row>
      <xdr:rowOff>104775</xdr:rowOff>
    </xdr:from>
    <xdr:ext cx="1390650" cy="419100"/>
    <xdr:sp macro="[0]!NouveauDossierAG" textlink="">
      <xdr:nvSpPr>
        <xdr:cNvPr id="6" name="Rectangle 5"/>
        <xdr:cNvSpPr/>
      </xdr:nvSpPr>
      <xdr:spPr bwMode="auto">
        <a:xfrm>
          <a:off x="4324350" y="104775"/>
          <a:ext cx="1390650" cy="419100"/>
        </a:xfrm>
        <a:prstGeom prst="rect">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anchorCtr="0" upright="1">
          <a:noAutofit/>
        </a:bodyPr>
        <a:lstStyle/>
        <a:p>
          <a:pPr algn="l"/>
          <a:r>
            <a:rPr lang="fr-FR" sz="1100"/>
            <a:t>   Nouveau Dossier</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5</xdr:row>
      <xdr:rowOff>123824</xdr:rowOff>
    </xdr:from>
    <xdr:to>
      <xdr:col>1</xdr:col>
      <xdr:colOff>714375</xdr:colOff>
      <xdr:row>7</xdr:row>
      <xdr:rowOff>57150</xdr:rowOff>
    </xdr:to>
    <xdr:sp macro="[0]!FeuilleVotes" textlink="">
      <xdr:nvSpPr>
        <xdr:cNvPr id="3" name="Rectangle 64"/>
        <xdr:cNvSpPr>
          <a:spLocks noChangeArrowheads="1"/>
        </xdr:cNvSpPr>
      </xdr:nvSpPr>
      <xdr:spPr bwMode="auto">
        <a:xfrm>
          <a:off x="171450" y="1142999"/>
          <a:ext cx="1304925" cy="323851"/>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ctr" rtl="0">
            <a:defRPr sz="1000"/>
          </a:pPr>
          <a:r>
            <a:rPr lang="fr-FR" sz="1000" b="1" i="0" u="none" strike="noStrike" baseline="0">
              <a:solidFill>
                <a:srgbClr val="000000"/>
              </a:solidFill>
              <a:latin typeface="Arial"/>
              <a:cs typeface="Arial"/>
            </a:rPr>
            <a:t>  CREER FEUILLES      VOTES    </a:t>
          </a:r>
        </a:p>
      </xdr:txBody>
    </xdr:sp>
    <xdr:clientData/>
  </xdr:twoCellAnchor>
  <xdr:twoCellAnchor>
    <xdr:from>
      <xdr:col>10</xdr:col>
      <xdr:colOff>81915</xdr:colOff>
      <xdr:row>9</xdr:row>
      <xdr:rowOff>81915</xdr:rowOff>
    </xdr:from>
    <xdr:to>
      <xdr:col>10</xdr:col>
      <xdr:colOff>407616</xdr:colOff>
      <xdr:row>10</xdr:row>
      <xdr:rowOff>112395</xdr:rowOff>
    </xdr:to>
    <xdr:sp macro="[0]!DEBUT" textlink="">
      <xdr:nvSpPr>
        <xdr:cNvPr id="7" name="Rectangle 107"/>
        <xdr:cNvSpPr>
          <a:spLocks noChangeArrowheads="1"/>
        </xdr:cNvSpPr>
      </xdr:nvSpPr>
      <xdr:spPr bwMode="auto">
        <a:xfrm>
          <a:off x="8016240" y="1828800"/>
          <a:ext cx="335280" cy="198120"/>
        </a:xfrm>
        <a:prstGeom prst="rect">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fr-FR" sz="1000" b="0" i="0" u="none" strike="noStrike" baseline="0">
              <a:solidFill>
                <a:srgbClr val="000000"/>
              </a:solidFill>
              <a:latin typeface="Arial"/>
              <a:cs typeface="Arial"/>
            </a:rPr>
            <a:t>DEB</a:t>
          </a:r>
          <a:endParaRPr lang="fr-FR"/>
        </a:p>
      </xdr:txBody>
    </xdr:sp>
    <xdr:clientData/>
  </xdr:twoCellAnchor>
  <xdr:twoCellAnchor>
    <xdr:from>
      <xdr:col>15</xdr:col>
      <xdr:colOff>430530</xdr:colOff>
      <xdr:row>9</xdr:row>
      <xdr:rowOff>76200</xdr:rowOff>
    </xdr:from>
    <xdr:to>
      <xdr:col>16</xdr:col>
      <xdr:colOff>106680</xdr:colOff>
      <xdr:row>10</xdr:row>
      <xdr:rowOff>112482</xdr:rowOff>
    </xdr:to>
    <xdr:sp macro="[0]!FIN" textlink="">
      <xdr:nvSpPr>
        <xdr:cNvPr id="8" name="Rectangle 108"/>
        <xdr:cNvSpPr>
          <a:spLocks noChangeArrowheads="1"/>
        </xdr:cNvSpPr>
      </xdr:nvSpPr>
      <xdr:spPr bwMode="auto">
        <a:xfrm>
          <a:off x="12336780" y="1813560"/>
          <a:ext cx="449580" cy="213360"/>
        </a:xfrm>
        <a:prstGeom prst="rect">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fr-FR" sz="1000" b="0" i="0" u="none" strike="noStrike" baseline="0">
              <a:solidFill>
                <a:srgbClr val="000000"/>
              </a:solidFill>
              <a:latin typeface="Arial"/>
              <a:cs typeface="Arial"/>
            </a:rPr>
            <a:t>FIN</a:t>
          </a:r>
          <a:endParaRPr lang="fr-FR"/>
        </a:p>
      </xdr:txBody>
    </xdr:sp>
    <xdr:clientData/>
  </xdr:twoCellAnchor>
  <xdr:twoCellAnchor>
    <xdr:from>
      <xdr:col>16</xdr:col>
      <xdr:colOff>333375</xdr:colOff>
      <xdr:row>8</xdr:row>
      <xdr:rowOff>144780</xdr:rowOff>
    </xdr:from>
    <xdr:to>
      <xdr:col>17</xdr:col>
      <xdr:colOff>695325</xdr:colOff>
      <xdr:row>11</xdr:row>
      <xdr:rowOff>7620</xdr:rowOff>
    </xdr:to>
    <xdr:sp macro="[0]!demasquer" textlink="">
      <xdr:nvSpPr>
        <xdr:cNvPr id="15" name="Rectangle 14"/>
        <xdr:cNvSpPr/>
      </xdr:nvSpPr>
      <xdr:spPr bwMode="auto">
        <a:xfrm>
          <a:off x="13022580" y="1714500"/>
          <a:ext cx="1173480" cy="365760"/>
        </a:xfrm>
        <a:prstGeom prst="rect">
          <a:avLst/>
        </a:prstGeom>
        <a:solidFill>
          <a:schemeClr val="accent1">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anchorCtr="0" upright="1"/>
        <a:lstStyle/>
        <a:p>
          <a:pPr algn="l"/>
          <a:r>
            <a:rPr lang="fr-FR" sz="1100" baseline="0"/>
            <a:t>     Af</a:t>
          </a:r>
          <a:r>
            <a:rPr lang="fr-FR" sz="1100"/>
            <a:t>ficher Tout</a:t>
          </a:r>
        </a:p>
      </xdr:txBody>
    </xdr:sp>
    <xdr:clientData/>
  </xdr:twoCellAnchor>
  <xdr:twoCellAnchor>
    <xdr:from>
      <xdr:col>8</xdr:col>
      <xdr:colOff>30480</xdr:colOff>
      <xdr:row>8</xdr:row>
      <xdr:rowOff>150495</xdr:rowOff>
    </xdr:from>
    <xdr:to>
      <xdr:col>9</xdr:col>
      <xdr:colOff>348664</xdr:colOff>
      <xdr:row>11</xdr:row>
      <xdr:rowOff>7620</xdr:rowOff>
    </xdr:to>
    <xdr:sp macro="[0]!Masquer" textlink="">
      <xdr:nvSpPr>
        <xdr:cNvPr id="16" name="Rectangle 15"/>
        <xdr:cNvSpPr/>
      </xdr:nvSpPr>
      <xdr:spPr bwMode="auto">
        <a:xfrm>
          <a:off x="6979920" y="1729740"/>
          <a:ext cx="1120140" cy="350520"/>
        </a:xfrm>
        <a:prstGeom prst="rect">
          <a:avLst/>
        </a:prstGeom>
        <a:solidFill>
          <a:schemeClr val="tx2">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lang="fr-FR" sz="1100"/>
            <a:t>MASQUER           Colonnes</a:t>
          </a:r>
        </a:p>
        <a:p>
          <a:pPr algn="ctr"/>
          <a:endParaRPr lang="fr-FR" sz="1100"/>
        </a:p>
      </xdr:txBody>
    </xdr:sp>
    <xdr:clientData/>
  </xdr:twoCellAnchor>
  <xdr:twoCellAnchor>
    <xdr:from>
      <xdr:col>0</xdr:col>
      <xdr:colOff>200025</xdr:colOff>
      <xdr:row>8</xdr:row>
      <xdr:rowOff>114300</xdr:rowOff>
    </xdr:from>
    <xdr:to>
      <xdr:col>1</xdr:col>
      <xdr:colOff>752475</xdr:colOff>
      <xdr:row>10</xdr:row>
      <xdr:rowOff>133350</xdr:rowOff>
    </xdr:to>
    <xdr:sp macro="[0]!TriVal" textlink="">
      <xdr:nvSpPr>
        <xdr:cNvPr id="2" name="Rectangle 1"/>
        <xdr:cNvSpPr/>
      </xdr:nvSpPr>
      <xdr:spPr bwMode="auto">
        <a:xfrm>
          <a:off x="200025" y="1685925"/>
          <a:ext cx="1314450" cy="342900"/>
        </a:xfrm>
        <a:prstGeom prst="rect">
          <a:avLst/>
        </a:prstGeom>
        <a:solidFill>
          <a:schemeClr val="accent6">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lang="fr-FR" sz="1100"/>
            <a:t>  TRIER </a:t>
          </a:r>
          <a:r>
            <a:rPr lang="fr-FR" sz="1100" b="1"/>
            <a:t>VALIDER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81915</xdr:colOff>
      <xdr:row>9</xdr:row>
      <xdr:rowOff>81915</xdr:rowOff>
    </xdr:from>
    <xdr:to>
      <xdr:col>10</xdr:col>
      <xdr:colOff>407616</xdr:colOff>
      <xdr:row>10</xdr:row>
      <xdr:rowOff>112395</xdr:rowOff>
    </xdr:to>
    <xdr:sp macro="[0]!DEBUT" textlink="">
      <xdr:nvSpPr>
        <xdr:cNvPr id="3" name="Rectangle 107"/>
        <xdr:cNvSpPr>
          <a:spLocks noChangeArrowheads="1"/>
        </xdr:cNvSpPr>
      </xdr:nvSpPr>
      <xdr:spPr bwMode="auto">
        <a:xfrm>
          <a:off x="8616315" y="1849755"/>
          <a:ext cx="325701" cy="198120"/>
        </a:xfrm>
        <a:prstGeom prst="rect">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fr-FR" sz="1000" b="0" i="0" u="none" strike="noStrike" baseline="0">
              <a:solidFill>
                <a:srgbClr val="000000"/>
              </a:solidFill>
              <a:latin typeface="Arial"/>
              <a:cs typeface="Arial"/>
            </a:rPr>
            <a:t>DEB</a:t>
          </a:r>
          <a:endParaRPr lang="fr-FR"/>
        </a:p>
      </xdr:txBody>
    </xdr:sp>
    <xdr:clientData/>
  </xdr:twoCellAnchor>
  <xdr:twoCellAnchor>
    <xdr:from>
      <xdr:col>15</xdr:col>
      <xdr:colOff>430530</xdr:colOff>
      <xdr:row>9</xdr:row>
      <xdr:rowOff>76200</xdr:rowOff>
    </xdr:from>
    <xdr:to>
      <xdr:col>16</xdr:col>
      <xdr:colOff>106680</xdr:colOff>
      <xdr:row>10</xdr:row>
      <xdr:rowOff>112482</xdr:rowOff>
    </xdr:to>
    <xdr:sp macro="[0]!FIN" textlink="">
      <xdr:nvSpPr>
        <xdr:cNvPr id="4" name="Rectangle 108"/>
        <xdr:cNvSpPr>
          <a:spLocks noChangeArrowheads="1"/>
        </xdr:cNvSpPr>
      </xdr:nvSpPr>
      <xdr:spPr bwMode="auto">
        <a:xfrm>
          <a:off x="12995910" y="1844040"/>
          <a:ext cx="468630" cy="203922"/>
        </a:xfrm>
        <a:prstGeom prst="rect">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fr-FR" sz="1000" b="0" i="0" u="none" strike="noStrike" baseline="0">
              <a:solidFill>
                <a:srgbClr val="000000"/>
              </a:solidFill>
              <a:latin typeface="Arial"/>
              <a:cs typeface="Arial"/>
            </a:rPr>
            <a:t>FIN</a:t>
          </a:r>
          <a:endParaRPr lang="fr-FR"/>
        </a:p>
      </xdr:txBody>
    </xdr:sp>
    <xdr:clientData/>
  </xdr:twoCellAnchor>
  <xdr:twoCellAnchor>
    <xdr:from>
      <xdr:col>16</xdr:col>
      <xdr:colOff>333375</xdr:colOff>
      <xdr:row>8</xdr:row>
      <xdr:rowOff>144780</xdr:rowOff>
    </xdr:from>
    <xdr:to>
      <xdr:col>17</xdr:col>
      <xdr:colOff>695325</xdr:colOff>
      <xdr:row>11</xdr:row>
      <xdr:rowOff>7620</xdr:rowOff>
    </xdr:to>
    <xdr:sp macro="[0]!demasquer" textlink="">
      <xdr:nvSpPr>
        <xdr:cNvPr id="5" name="Rectangle 4"/>
        <xdr:cNvSpPr/>
      </xdr:nvSpPr>
      <xdr:spPr bwMode="auto">
        <a:xfrm>
          <a:off x="13691235" y="1744980"/>
          <a:ext cx="1154430" cy="365760"/>
        </a:xfrm>
        <a:prstGeom prst="rect">
          <a:avLst/>
        </a:prstGeom>
        <a:solidFill>
          <a:schemeClr val="accent1">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anchorCtr="0" upright="1"/>
        <a:lstStyle/>
        <a:p>
          <a:pPr algn="l"/>
          <a:r>
            <a:rPr lang="fr-FR" sz="1100" baseline="0"/>
            <a:t>     Af</a:t>
          </a:r>
          <a:r>
            <a:rPr lang="fr-FR" sz="1100"/>
            <a:t>ficher Tout</a:t>
          </a:r>
        </a:p>
      </xdr:txBody>
    </xdr:sp>
    <xdr:clientData/>
  </xdr:twoCellAnchor>
  <xdr:twoCellAnchor>
    <xdr:from>
      <xdr:col>8</xdr:col>
      <xdr:colOff>30480</xdr:colOff>
      <xdr:row>8</xdr:row>
      <xdr:rowOff>150495</xdr:rowOff>
    </xdr:from>
    <xdr:to>
      <xdr:col>9</xdr:col>
      <xdr:colOff>348664</xdr:colOff>
      <xdr:row>11</xdr:row>
      <xdr:rowOff>7620</xdr:rowOff>
    </xdr:to>
    <xdr:sp macro="[0]!Masquer" textlink="">
      <xdr:nvSpPr>
        <xdr:cNvPr id="6" name="Rectangle 5"/>
        <xdr:cNvSpPr/>
      </xdr:nvSpPr>
      <xdr:spPr bwMode="auto">
        <a:xfrm>
          <a:off x="6979920" y="1750695"/>
          <a:ext cx="1110664" cy="360045"/>
        </a:xfrm>
        <a:prstGeom prst="rect">
          <a:avLst/>
        </a:prstGeom>
        <a:solidFill>
          <a:schemeClr val="tx2">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lang="fr-FR" sz="1100"/>
            <a:t>MASQUER           Colonnes</a:t>
          </a:r>
        </a:p>
        <a:p>
          <a:pPr algn="ctr"/>
          <a:endParaRPr lang="fr-FR" sz="1100"/>
        </a:p>
      </xdr:txBody>
    </xdr:sp>
    <xdr:clientData/>
  </xdr:twoCellAnchor>
  <xdr:twoCellAnchor>
    <xdr:from>
      <xdr:col>0</xdr:col>
      <xdr:colOff>200025</xdr:colOff>
      <xdr:row>8</xdr:row>
      <xdr:rowOff>114300</xdr:rowOff>
    </xdr:from>
    <xdr:to>
      <xdr:col>1</xdr:col>
      <xdr:colOff>752475</xdr:colOff>
      <xdr:row>10</xdr:row>
      <xdr:rowOff>133350</xdr:rowOff>
    </xdr:to>
    <xdr:sp macro="[0]!TriVal" textlink="">
      <xdr:nvSpPr>
        <xdr:cNvPr id="7" name="Rectangle 6"/>
        <xdr:cNvSpPr/>
      </xdr:nvSpPr>
      <xdr:spPr bwMode="auto">
        <a:xfrm>
          <a:off x="200025" y="1714500"/>
          <a:ext cx="1344930" cy="354330"/>
        </a:xfrm>
        <a:prstGeom prst="rect">
          <a:avLst/>
        </a:prstGeom>
        <a:solidFill>
          <a:schemeClr val="accent6">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lang="fr-FR" sz="1100"/>
            <a:t>  TRIER </a:t>
          </a:r>
          <a:r>
            <a:rPr lang="fr-FR" sz="1100" b="1"/>
            <a:t>VALIDER</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Baratin@free,fr" TargetMode="External"/><Relationship Id="rId7" Type="http://schemas.openxmlformats.org/officeDocument/2006/relationships/drawing" Target="../drawings/drawing1.xml"/><Relationship Id="rId2" Type="http://schemas.openxmlformats.org/officeDocument/2006/relationships/hyperlink" Target="mailto:Amsalam@free;fr" TargetMode="External"/><Relationship Id="rId1" Type="http://schemas.openxmlformats.org/officeDocument/2006/relationships/hyperlink" Target="mailto:Aladin@fgree;fr" TargetMode="External"/><Relationship Id="rId6" Type="http://schemas.openxmlformats.org/officeDocument/2006/relationships/printerSettings" Target="../printerSettings/printerSettings1.bin"/><Relationship Id="rId5" Type="http://schemas.openxmlformats.org/officeDocument/2006/relationships/hyperlink" Target="mailto:Belard@free,fr" TargetMode="External"/><Relationship Id="rId4" Type="http://schemas.openxmlformats.org/officeDocument/2006/relationships/hyperlink" Target="mailto:WEBER.JP@outlook"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9"/>
  </sheetPr>
  <dimension ref="A1:AB60"/>
  <sheetViews>
    <sheetView workbookViewId="0">
      <pane ySplit="9" topLeftCell="A10" activePane="bottomLeft" state="frozenSplit"/>
      <selection pane="bottomLeft" activeCell="D1" sqref="D1"/>
    </sheetView>
  </sheetViews>
  <sheetFormatPr baseColWidth="10" defaultRowHeight="13.2" x14ac:dyDescent="0.25"/>
  <cols>
    <col min="1" max="2" width="8.5546875" customWidth="1"/>
    <col min="3" max="3" width="23.44140625" customWidth="1"/>
    <col min="4" max="4" width="21" customWidth="1"/>
    <col min="5" max="5" width="25.44140625" customWidth="1"/>
    <col min="7" max="7" width="18.5546875" customWidth="1"/>
    <col min="8" max="8" width="11.5546875" customWidth="1"/>
    <col min="9" max="9" width="8" customWidth="1"/>
    <col min="10" max="10" width="14.88671875" customWidth="1"/>
    <col min="25" max="25" width="23.6640625" customWidth="1"/>
    <col min="26" max="26" width="23.88671875" customWidth="1"/>
  </cols>
  <sheetData>
    <row r="1" spans="1:28" x14ac:dyDescent="0.25">
      <c r="A1" s="153"/>
      <c r="B1" t="s">
        <v>150</v>
      </c>
      <c r="C1" s="154">
        <v>44084</v>
      </c>
      <c r="G1" s="42">
        <v>1</v>
      </c>
      <c r="H1" s="42">
        <v>1</v>
      </c>
    </row>
    <row r="2" spans="1:28" x14ac:dyDescent="0.25">
      <c r="B2" t="s">
        <v>165</v>
      </c>
      <c r="D2" s="42">
        <v>50</v>
      </c>
      <c r="H2" s="126"/>
      <c r="AB2" s="118">
        <v>3</v>
      </c>
    </row>
    <row r="3" spans="1:28" x14ac:dyDescent="0.25">
      <c r="B3" s="91" t="s">
        <v>151</v>
      </c>
      <c r="C3" s="91" t="s">
        <v>155</v>
      </c>
    </row>
    <row r="4" spans="1:28" x14ac:dyDescent="0.25">
      <c r="B4" s="91" t="s">
        <v>60</v>
      </c>
      <c r="C4" s="91" t="s">
        <v>152</v>
      </c>
    </row>
    <row r="5" spans="1:28" x14ac:dyDescent="0.25">
      <c r="B5" s="91" t="s">
        <v>153</v>
      </c>
      <c r="C5" s="91" t="s">
        <v>154</v>
      </c>
    </row>
    <row r="7" spans="1:28" ht="15.6" x14ac:dyDescent="0.3">
      <c r="A7" s="134" t="s">
        <v>115</v>
      </c>
      <c r="G7" t="s">
        <v>116</v>
      </c>
      <c r="H7" s="178">
        <f>SUM($H$10:$H$59)</f>
        <v>10000</v>
      </c>
    </row>
    <row r="8" spans="1:28" x14ac:dyDescent="0.25">
      <c r="I8" s="165">
        <v>9</v>
      </c>
      <c r="J8" s="165">
        <v>10</v>
      </c>
      <c r="K8" s="165">
        <v>11</v>
      </c>
      <c r="L8" s="165">
        <v>12</v>
      </c>
      <c r="M8" s="165">
        <v>13</v>
      </c>
      <c r="N8" s="165">
        <v>14</v>
      </c>
      <c r="O8" s="165">
        <v>15</v>
      </c>
      <c r="P8" s="165">
        <v>16</v>
      </c>
      <c r="Q8" s="165">
        <v>17</v>
      </c>
      <c r="R8" s="165">
        <v>18</v>
      </c>
      <c r="S8" s="165">
        <v>19</v>
      </c>
      <c r="T8" s="165">
        <v>20</v>
      </c>
      <c r="U8" s="165">
        <v>21</v>
      </c>
      <c r="V8" s="165">
        <v>22</v>
      </c>
      <c r="W8" s="165">
        <v>23</v>
      </c>
    </row>
    <row r="9" spans="1:28" x14ac:dyDescent="0.25">
      <c r="A9" s="80" t="s">
        <v>58</v>
      </c>
      <c r="B9" s="80" t="s">
        <v>66</v>
      </c>
      <c r="C9" s="79" t="s">
        <v>59</v>
      </c>
      <c r="D9" s="80" t="s">
        <v>0</v>
      </c>
      <c r="E9" s="79" t="s">
        <v>60</v>
      </c>
      <c r="F9" s="80" t="s">
        <v>73</v>
      </c>
      <c r="G9" s="79" t="s">
        <v>61</v>
      </c>
      <c r="H9" s="80" t="s">
        <v>62</v>
      </c>
      <c r="I9" s="79" t="s">
        <v>63</v>
      </c>
      <c r="J9" s="86" t="s">
        <v>64</v>
      </c>
      <c r="K9" s="80" t="s">
        <v>65</v>
      </c>
      <c r="L9" s="79" t="s">
        <v>63</v>
      </c>
      <c r="M9" s="80" t="s">
        <v>64</v>
      </c>
      <c r="N9" s="79" t="s">
        <v>65</v>
      </c>
      <c r="O9" s="80" t="s">
        <v>63</v>
      </c>
      <c r="P9" s="79" t="s">
        <v>64</v>
      </c>
      <c r="Q9" s="80" t="s">
        <v>65</v>
      </c>
      <c r="R9" s="79" t="s">
        <v>63</v>
      </c>
      <c r="S9" s="80" t="s">
        <v>64</v>
      </c>
      <c r="T9" s="79" t="s">
        <v>65</v>
      </c>
      <c r="U9" s="80" t="s">
        <v>63</v>
      </c>
      <c r="V9" s="79" t="s">
        <v>64</v>
      </c>
      <c r="W9" s="80" t="s">
        <v>65</v>
      </c>
      <c r="X9" s="80" t="s">
        <v>58</v>
      </c>
      <c r="Y9" s="80" t="s">
        <v>0</v>
      </c>
      <c r="Z9" s="210" t="s">
        <v>167</v>
      </c>
    </row>
    <row r="10" spans="1:28" x14ac:dyDescent="0.25">
      <c r="A10" s="81">
        <v>1</v>
      </c>
      <c r="B10" s="90" t="s">
        <v>67</v>
      </c>
      <c r="C10" s="103" t="s">
        <v>71</v>
      </c>
      <c r="D10" s="87" t="s">
        <v>142</v>
      </c>
      <c r="E10" s="91" t="s">
        <v>109</v>
      </c>
      <c r="F10" s="81">
        <v>75016</v>
      </c>
      <c r="G10" s="99" t="s">
        <v>75</v>
      </c>
      <c r="H10" s="179">
        <f t="shared" ref="H10:H41" si="0">IF(K10+N10+Q10+W10&gt;0,K10+N10+Q10+T10+W10,"")</f>
        <v>425</v>
      </c>
      <c r="I10">
        <v>1</v>
      </c>
      <c r="J10" s="93" t="s">
        <v>76</v>
      </c>
      <c r="K10" s="97">
        <v>370</v>
      </c>
      <c r="L10" s="82">
        <v>26</v>
      </c>
      <c r="M10" s="90" t="s">
        <v>77</v>
      </c>
      <c r="N10" s="98">
        <v>20</v>
      </c>
      <c r="O10" s="81">
        <v>51</v>
      </c>
      <c r="P10" s="103" t="s">
        <v>78</v>
      </c>
      <c r="Q10" s="97">
        <v>10</v>
      </c>
      <c r="R10" s="92"/>
      <c r="S10" s="90"/>
      <c r="T10" s="102"/>
      <c r="U10" s="90">
        <v>82</v>
      </c>
      <c r="V10" s="91" t="s">
        <v>80</v>
      </c>
      <c r="W10" s="97">
        <v>25</v>
      </c>
      <c r="X10">
        <f>A10</f>
        <v>1</v>
      </c>
      <c r="Y10" t="str">
        <f>D10</f>
        <v>ALADIN André</v>
      </c>
      <c r="Z10" s="211" t="s">
        <v>169</v>
      </c>
    </row>
    <row r="11" spans="1:28" x14ac:dyDescent="0.25">
      <c r="A11" s="81">
        <v>2</v>
      </c>
      <c r="B11" s="90" t="s">
        <v>68</v>
      </c>
      <c r="C11" s="103" t="s">
        <v>72</v>
      </c>
      <c r="D11" s="88" t="s">
        <v>84</v>
      </c>
      <c r="E11" s="91" t="s">
        <v>110</v>
      </c>
      <c r="F11" s="81">
        <v>75016</v>
      </c>
      <c r="G11" s="99" t="s">
        <v>75</v>
      </c>
      <c r="H11" s="179">
        <f t="shared" si="0"/>
        <v>335</v>
      </c>
      <c r="I11">
        <v>2</v>
      </c>
      <c r="J11" s="93" t="s">
        <v>76</v>
      </c>
      <c r="K11" s="97">
        <v>275</v>
      </c>
      <c r="L11" s="82">
        <v>27</v>
      </c>
      <c r="M11" s="90" t="s">
        <v>77</v>
      </c>
      <c r="N11" s="98">
        <v>20</v>
      </c>
      <c r="O11" s="81">
        <v>52</v>
      </c>
      <c r="P11" s="103" t="s">
        <v>78</v>
      </c>
      <c r="Q11" s="97">
        <v>10</v>
      </c>
      <c r="R11" s="92">
        <v>76</v>
      </c>
      <c r="S11" s="90" t="s">
        <v>79</v>
      </c>
      <c r="T11" s="97">
        <v>30</v>
      </c>
      <c r="U11" s="81"/>
      <c r="W11" s="97"/>
      <c r="X11">
        <f t="shared" ref="X11:X59" si="1">A11</f>
        <v>2</v>
      </c>
      <c r="Y11" t="str">
        <f t="shared" ref="Y11:Y59" si="2">D11</f>
        <v>AMONICA Marie</v>
      </c>
    </row>
    <row r="12" spans="1:28" x14ac:dyDescent="0.25">
      <c r="A12" s="81">
        <v>3</v>
      </c>
      <c r="B12" s="93" t="s">
        <v>69</v>
      </c>
      <c r="C12" s="95" t="s">
        <v>97</v>
      </c>
      <c r="D12" s="94" t="s">
        <v>94</v>
      </c>
      <c r="E12" s="91" t="s">
        <v>111</v>
      </c>
      <c r="F12" s="81">
        <v>75016</v>
      </c>
      <c r="G12" s="99" t="s">
        <v>75</v>
      </c>
      <c r="H12" s="179">
        <f t="shared" si="0"/>
        <v>415</v>
      </c>
      <c r="I12">
        <v>3</v>
      </c>
      <c r="J12" s="93" t="s">
        <v>76</v>
      </c>
      <c r="K12" s="97">
        <v>385</v>
      </c>
      <c r="L12" s="82">
        <v>28</v>
      </c>
      <c r="M12" s="90" t="s">
        <v>77</v>
      </c>
      <c r="N12" s="98">
        <v>20</v>
      </c>
      <c r="O12" s="81">
        <v>53</v>
      </c>
      <c r="P12" s="103" t="s">
        <v>78</v>
      </c>
      <c r="Q12" s="97">
        <v>10</v>
      </c>
      <c r="R12" s="82"/>
      <c r="S12" s="81"/>
      <c r="T12" s="97"/>
      <c r="U12" s="81"/>
      <c r="W12" s="97"/>
      <c r="X12">
        <f t="shared" si="1"/>
        <v>3</v>
      </c>
      <c r="Y12" t="str">
        <f t="shared" si="2"/>
        <v>AMSALAM Marcel</v>
      </c>
      <c r="Z12" s="211" t="s">
        <v>168</v>
      </c>
    </row>
    <row r="13" spans="1:28" x14ac:dyDescent="0.25">
      <c r="A13" s="81">
        <v>4</v>
      </c>
      <c r="B13" s="90" t="s">
        <v>70</v>
      </c>
      <c r="C13" s="92" t="s">
        <v>71</v>
      </c>
      <c r="D13" s="88" t="s">
        <v>95</v>
      </c>
      <c r="E13" s="91" t="s">
        <v>112</v>
      </c>
      <c r="F13" s="81">
        <v>75016</v>
      </c>
      <c r="G13" s="99" t="s">
        <v>75</v>
      </c>
      <c r="H13" s="179">
        <f t="shared" si="0"/>
        <v>320</v>
      </c>
      <c r="I13">
        <v>4</v>
      </c>
      <c r="J13" s="93" t="s">
        <v>76</v>
      </c>
      <c r="K13" s="97">
        <v>260</v>
      </c>
      <c r="L13" s="82">
        <v>29</v>
      </c>
      <c r="M13" s="90" t="s">
        <v>77</v>
      </c>
      <c r="N13" s="98">
        <v>20</v>
      </c>
      <c r="O13" s="81">
        <v>54</v>
      </c>
      <c r="P13" s="103" t="s">
        <v>78</v>
      </c>
      <c r="Q13" s="97">
        <v>10</v>
      </c>
      <c r="R13" s="92">
        <v>77</v>
      </c>
      <c r="S13" s="90" t="s">
        <v>79</v>
      </c>
      <c r="T13" s="102">
        <v>30</v>
      </c>
      <c r="U13" s="81"/>
      <c r="W13" s="97"/>
      <c r="X13">
        <f t="shared" si="1"/>
        <v>4</v>
      </c>
      <c r="Y13" t="str">
        <f t="shared" si="2"/>
        <v>ANIEBERT Paul</v>
      </c>
    </row>
    <row r="14" spans="1:28" x14ac:dyDescent="0.25">
      <c r="A14" s="81">
        <v>5</v>
      </c>
      <c r="B14" s="90" t="s">
        <v>69</v>
      </c>
      <c r="C14" s="92" t="s">
        <v>97</v>
      </c>
      <c r="D14" s="88" t="s">
        <v>144</v>
      </c>
      <c r="E14" s="91" t="s">
        <v>113</v>
      </c>
      <c r="F14" s="81">
        <v>75016</v>
      </c>
      <c r="G14" s="99" t="s">
        <v>75</v>
      </c>
      <c r="H14" s="179">
        <f t="shared" si="0"/>
        <v>665</v>
      </c>
      <c r="I14">
        <v>5</v>
      </c>
      <c r="J14" s="93" t="s">
        <v>76</v>
      </c>
      <c r="K14" s="97">
        <v>635</v>
      </c>
      <c r="L14" s="82">
        <v>30</v>
      </c>
      <c r="M14" s="90" t="s">
        <v>77</v>
      </c>
      <c r="N14" s="98">
        <v>20</v>
      </c>
      <c r="O14" s="81">
        <v>55</v>
      </c>
      <c r="P14" s="103" t="s">
        <v>78</v>
      </c>
      <c r="Q14" s="97">
        <v>10</v>
      </c>
      <c r="R14" s="82"/>
      <c r="S14" s="81"/>
      <c r="T14" s="97"/>
      <c r="U14" s="81"/>
      <c r="W14" s="97"/>
      <c r="X14">
        <f t="shared" si="1"/>
        <v>5</v>
      </c>
      <c r="Y14" t="str">
        <f t="shared" si="2"/>
        <v>ASSALADIN Julie</v>
      </c>
    </row>
    <row r="15" spans="1:28" x14ac:dyDescent="0.25">
      <c r="A15" s="81">
        <v>6</v>
      </c>
      <c r="B15" s="90" t="s">
        <v>69</v>
      </c>
      <c r="C15" s="95" t="s">
        <v>97</v>
      </c>
      <c r="D15" s="88" t="s">
        <v>96</v>
      </c>
      <c r="E15" s="91" t="s">
        <v>109</v>
      </c>
      <c r="F15" s="81">
        <v>75016</v>
      </c>
      <c r="G15" s="99" t="s">
        <v>75</v>
      </c>
      <c r="H15" s="179">
        <f t="shared" si="0"/>
        <v>365</v>
      </c>
      <c r="I15">
        <v>6</v>
      </c>
      <c r="J15" s="93" t="s">
        <v>76</v>
      </c>
      <c r="K15" s="97">
        <v>280</v>
      </c>
      <c r="L15" s="82">
        <v>31</v>
      </c>
      <c r="M15" s="90" t="s">
        <v>77</v>
      </c>
      <c r="N15" s="98">
        <v>20</v>
      </c>
      <c r="O15" s="81">
        <v>56</v>
      </c>
      <c r="P15" s="103" t="s">
        <v>78</v>
      </c>
      <c r="Q15" s="97">
        <v>10</v>
      </c>
      <c r="R15" s="92">
        <v>78</v>
      </c>
      <c r="S15" s="90" t="s">
        <v>79</v>
      </c>
      <c r="T15" s="97">
        <v>30</v>
      </c>
      <c r="U15" s="81">
        <v>83</v>
      </c>
      <c r="V15" s="91" t="s">
        <v>80</v>
      </c>
      <c r="W15" s="97">
        <v>25</v>
      </c>
      <c r="X15">
        <f t="shared" si="1"/>
        <v>6</v>
      </c>
      <c r="Y15" t="str">
        <f t="shared" si="2"/>
        <v>AUBEPINE André</v>
      </c>
    </row>
    <row r="16" spans="1:28" x14ac:dyDescent="0.25">
      <c r="A16" s="81">
        <v>7</v>
      </c>
      <c r="B16" s="90" t="s">
        <v>69</v>
      </c>
      <c r="C16" s="95" t="s">
        <v>97</v>
      </c>
      <c r="D16" s="88" t="s">
        <v>81</v>
      </c>
      <c r="E16" s="91" t="s">
        <v>110</v>
      </c>
      <c r="F16" s="81">
        <v>75016</v>
      </c>
      <c r="G16" s="99" t="s">
        <v>75</v>
      </c>
      <c r="H16" s="179">
        <f t="shared" si="0"/>
        <v>280</v>
      </c>
      <c r="I16">
        <v>7</v>
      </c>
      <c r="J16" s="93" t="s">
        <v>76</v>
      </c>
      <c r="K16" s="97">
        <v>250</v>
      </c>
      <c r="L16" s="82">
        <v>32</v>
      </c>
      <c r="M16" s="90" t="s">
        <v>77</v>
      </c>
      <c r="N16" s="98">
        <v>20</v>
      </c>
      <c r="O16" s="81">
        <v>57</v>
      </c>
      <c r="P16" s="103" t="s">
        <v>78</v>
      </c>
      <c r="Q16" s="97">
        <v>10</v>
      </c>
      <c r="R16" s="82"/>
      <c r="S16" s="81"/>
      <c r="T16" s="97"/>
      <c r="U16" s="81"/>
      <c r="W16" s="97"/>
      <c r="X16">
        <f t="shared" si="1"/>
        <v>7</v>
      </c>
      <c r="Y16" t="str">
        <f t="shared" si="2"/>
        <v>AURIDON Jean-Paul</v>
      </c>
    </row>
    <row r="17" spans="1:26" x14ac:dyDescent="0.25">
      <c r="A17" s="81">
        <v>8</v>
      </c>
      <c r="B17" s="90" t="s">
        <v>69</v>
      </c>
      <c r="C17" s="95" t="s">
        <v>97</v>
      </c>
      <c r="D17" s="88" t="s">
        <v>82</v>
      </c>
      <c r="E17" s="91" t="s">
        <v>111</v>
      </c>
      <c r="F17" s="81">
        <v>75016</v>
      </c>
      <c r="G17" s="99" t="s">
        <v>75</v>
      </c>
      <c r="H17" s="179">
        <f t="shared" si="0"/>
        <v>355</v>
      </c>
      <c r="I17">
        <v>8</v>
      </c>
      <c r="J17" s="93" t="s">
        <v>76</v>
      </c>
      <c r="K17" s="97">
        <v>325</v>
      </c>
      <c r="L17" s="82">
        <v>33</v>
      </c>
      <c r="M17" s="90" t="s">
        <v>77</v>
      </c>
      <c r="N17" s="98">
        <v>20</v>
      </c>
      <c r="O17" s="81">
        <v>58</v>
      </c>
      <c r="P17" s="103" t="s">
        <v>78</v>
      </c>
      <c r="Q17" s="97">
        <v>10</v>
      </c>
      <c r="R17" s="82"/>
      <c r="S17" s="81"/>
      <c r="T17" s="97"/>
      <c r="U17" s="81"/>
      <c r="W17" s="97"/>
      <c r="X17">
        <f t="shared" si="1"/>
        <v>8</v>
      </c>
      <c r="Y17" t="str">
        <f t="shared" si="2"/>
        <v>BACHELIER Paul</v>
      </c>
    </row>
    <row r="18" spans="1:26" ht="12" customHeight="1" x14ac:dyDescent="0.25">
      <c r="A18" s="81">
        <v>9</v>
      </c>
      <c r="B18" s="90" t="s">
        <v>69</v>
      </c>
      <c r="C18" s="95" t="s">
        <v>97</v>
      </c>
      <c r="D18" s="88" t="s">
        <v>156</v>
      </c>
      <c r="E18" s="91" t="s">
        <v>74</v>
      </c>
      <c r="F18" s="81">
        <v>75016</v>
      </c>
      <c r="G18" s="99" t="s">
        <v>75</v>
      </c>
      <c r="H18" s="179">
        <f t="shared" si="0"/>
        <v>380</v>
      </c>
      <c r="I18">
        <v>9</v>
      </c>
      <c r="J18" s="93" t="s">
        <v>76</v>
      </c>
      <c r="K18" s="97">
        <v>325</v>
      </c>
      <c r="L18" s="82">
        <v>34</v>
      </c>
      <c r="M18" s="90" t="s">
        <v>77</v>
      </c>
      <c r="N18" s="98">
        <v>20</v>
      </c>
      <c r="O18" s="81">
        <v>59</v>
      </c>
      <c r="P18" s="103" t="s">
        <v>78</v>
      </c>
      <c r="Q18" s="97">
        <v>10</v>
      </c>
      <c r="R18" s="82"/>
      <c r="S18" s="81"/>
      <c r="T18" s="97"/>
      <c r="U18" s="81">
        <v>84</v>
      </c>
      <c r="V18" s="91" t="s">
        <v>80</v>
      </c>
      <c r="W18" s="97">
        <v>25</v>
      </c>
      <c r="X18">
        <f t="shared" si="1"/>
        <v>9</v>
      </c>
      <c r="Y18" t="str">
        <f t="shared" si="2"/>
        <v>DUBOIS/BALARDIN Joseph</v>
      </c>
    </row>
    <row r="19" spans="1:26" x14ac:dyDescent="0.25">
      <c r="A19" s="81">
        <v>10</v>
      </c>
      <c r="B19" s="90" t="s">
        <v>69</v>
      </c>
      <c r="C19" s="95" t="s">
        <v>97</v>
      </c>
      <c r="D19" s="88" t="s">
        <v>83</v>
      </c>
      <c r="E19" s="91" t="s">
        <v>109</v>
      </c>
      <c r="F19" s="81">
        <v>75016</v>
      </c>
      <c r="G19" s="99" t="s">
        <v>75</v>
      </c>
      <c r="H19" s="179">
        <f t="shared" si="0"/>
        <v>385</v>
      </c>
      <c r="I19">
        <v>10</v>
      </c>
      <c r="J19" s="93" t="s">
        <v>76</v>
      </c>
      <c r="K19" s="97">
        <v>325</v>
      </c>
      <c r="L19" s="82">
        <v>35</v>
      </c>
      <c r="M19" s="90" t="s">
        <v>77</v>
      </c>
      <c r="N19" s="98">
        <v>20</v>
      </c>
      <c r="O19" s="81">
        <v>60</v>
      </c>
      <c r="P19" s="103" t="s">
        <v>78</v>
      </c>
      <c r="Q19" s="97">
        <v>10</v>
      </c>
      <c r="R19" s="92">
        <v>80</v>
      </c>
      <c r="S19" s="90" t="s">
        <v>79</v>
      </c>
      <c r="T19" s="97">
        <v>30</v>
      </c>
      <c r="U19" s="81"/>
      <c r="W19" s="97"/>
      <c r="X19">
        <f t="shared" si="1"/>
        <v>10</v>
      </c>
      <c r="Y19" t="str">
        <f t="shared" si="2"/>
        <v>BALDARINI Marc</v>
      </c>
    </row>
    <row r="20" spans="1:26" x14ac:dyDescent="0.25">
      <c r="A20" s="81">
        <v>11</v>
      </c>
      <c r="B20" s="90" t="s">
        <v>70</v>
      </c>
      <c r="C20" s="95" t="s">
        <v>71</v>
      </c>
      <c r="D20" s="88" t="s">
        <v>85</v>
      </c>
      <c r="E20" s="91" t="s">
        <v>110</v>
      </c>
      <c r="F20" s="81">
        <v>75016</v>
      </c>
      <c r="G20" s="99" t="s">
        <v>75</v>
      </c>
      <c r="H20" s="179">
        <f t="shared" si="0"/>
        <v>355</v>
      </c>
      <c r="I20">
        <v>11</v>
      </c>
      <c r="J20" s="93" t="s">
        <v>76</v>
      </c>
      <c r="K20" s="97">
        <v>325</v>
      </c>
      <c r="L20" s="82">
        <v>36</v>
      </c>
      <c r="M20" s="90" t="s">
        <v>77</v>
      </c>
      <c r="N20" s="98">
        <v>20</v>
      </c>
      <c r="O20" s="81">
        <v>61</v>
      </c>
      <c r="P20" s="103" t="s">
        <v>78</v>
      </c>
      <c r="Q20" s="97">
        <v>10</v>
      </c>
      <c r="R20" s="82"/>
      <c r="S20" s="81"/>
      <c r="T20" s="97"/>
      <c r="U20" s="81"/>
      <c r="W20" s="97"/>
      <c r="X20">
        <f t="shared" si="1"/>
        <v>11</v>
      </c>
      <c r="Y20" t="str">
        <f t="shared" si="2"/>
        <v>BARATIN Isaac</v>
      </c>
      <c r="Z20" s="211" t="s">
        <v>170</v>
      </c>
    </row>
    <row r="21" spans="1:26" x14ac:dyDescent="0.25">
      <c r="A21" s="81">
        <v>12</v>
      </c>
      <c r="B21" s="90" t="s">
        <v>70</v>
      </c>
      <c r="C21" s="95" t="s">
        <v>71</v>
      </c>
      <c r="D21" s="88" t="s">
        <v>141</v>
      </c>
      <c r="E21" s="91" t="s">
        <v>111</v>
      </c>
      <c r="F21" s="81">
        <v>75016</v>
      </c>
      <c r="G21" s="99" t="s">
        <v>75</v>
      </c>
      <c r="H21" s="179">
        <f t="shared" si="0"/>
        <v>480</v>
      </c>
      <c r="I21">
        <v>19</v>
      </c>
      <c r="J21" s="93" t="s">
        <v>76</v>
      </c>
      <c r="K21" s="97">
        <v>425</v>
      </c>
      <c r="L21" s="82">
        <v>44</v>
      </c>
      <c r="M21" s="90" t="s">
        <v>77</v>
      </c>
      <c r="N21" s="98">
        <v>20</v>
      </c>
      <c r="O21" s="81">
        <v>69</v>
      </c>
      <c r="P21" s="103" t="s">
        <v>78</v>
      </c>
      <c r="Q21" s="97">
        <v>10</v>
      </c>
      <c r="R21" s="82"/>
      <c r="S21" s="81"/>
      <c r="T21" s="97"/>
      <c r="U21" s="81">
        <v>86</v>
      </c>
      <c r="V21" s="91" t="s">
        <v>80</v>
      </c>
      <c r="W21" s="97">
        <v>25</v>
      </c>
      <c r="X21">
        <f t="shared" si="1"/>
        <v>12</v>
      </c>
      <c r="Y21" t="str">
        <f t="shared" si="2"/>
        <v>BARDON Pierre</v>
      </c>
    </row>
    <row r="22" spans="1:26" x14ac:dyDescent="0.25">
      <c r="A22" s="81">
        <v>13</v>
      </c>
      <c r="B22" s="90" t="s">
        <v>70</v>
      </c>
      <c r="C22" s="95" t="s">
        <v>71</v>
      </c>
      <c r="D22" s="88" t="s">
        <v>86</v>
      </c>
      <c r="E22" s="91" t="s">
        <v>109</v>
      </c>
      <c r="F22" s="81">
        <v>75016</v>
      </c>
      <c r="G22" s="99" t="s">
        <v>75</v>
      </c>
      <c r="H22" s="179">
        <f t="shared" si="0"/>
        <v>320</v>
      </c>
      <c r="I22">
        <v>12</v>
      </c>
      <c r="J22" s="93" t="s">
        <v>76</v>
      </c>
      <c r="K22" s="97">
        <v>260</v>
      </c>
      <c r="L22" s="82">
        <v>37</v>
      </c>
      <c r="M22" s="90" t="s">
        <v>77</v>
      </c>
      <c r="N22" s="98">
        <v>20</v>
      </c>
      <c r="O22" s="81">
        <v>62</v>
      </c>
      <c r="P22" s="103" t="s">
        <v>78</v>
      </c>
      <c r="Q22" s="97">
        <v>10</v>
      </c>
      <c r="R22" s="92">
        <v>81</v>
      </c>
      <c r="S22" s="90" t="s">
        <v>79</v>
      </c>
      <c r="T22" s="97">
        <v>30</v>
      </c>
      <c r="U22" s="81"/>
      <c r="W22" s="97"/>
      <c r="X22">
        <f t="shared" si="1"/>
        <v>13</v>
      </c>
      <c r="Y22" t="str">
        <f t="shared" si="2"/>
        <v>BARMAN Marcel</v>
      </c>
      <c r="Z22" t="s">
        <v>174</v>
      </c>
    </row>
    <row r="23" spans="1:26" x14ac:dyDescent="0.25">
      <c r="A23" s="81">
        <v>14</v>
      </c>
      <c r="B23" s="90" t="s">
        <v>70</v>
      </c>
      <c r="C23" s="95" t="s">
        <v>72</v>
      </c>
      <c r="D23" s="88" t="s">
        <v>88</v>
      </c>
      <c r="E23" s="91" t="s">
        <v>110</v>
      </c>
      <c r="F23" s="81">
        <v>75016</v>
      </c>
      <c r="G23" s="99" t="s">
        <v>75</v>
      </c>
      <c r="H23" s="179">
        <f t="shared" si="0"/>
        <v>435</v>
      </c>
      <c r="I23">
        <v>13</v>
      </c>
      <c r="J23" s="93" t="s">
        <v>76</v>
      </c>
      <c r="K23" s="97">
        <v>405</v>
      </c>
      <c r="L23" s="82">
        <v>38</v>
      </c>
      <c r="M23" s="90" t="s">
        <v>77</v>
      </c>
      <c r="N23" s="98">
        <v>20</v>
      </c>
      <c r="O23" s="81">
        <v>63</v>
      </c>
      <c r="P23" s="103" t="s">
        <v>78</v>
      </c>
      <c r="Q23" s="97">
        <v>10</v>
      </c>
      <c r="R23" s="82"/>
      <c r="S23" s="81"/>
      <c r="T23" s="97"/>
      <c r="U23" s="81"/>
      <c r="W23" s="97"/>
      <c r="X23">
        <f t="shared" si="1"/>
        <v>14</v>
      </c>
      <c r="Y23" t="str">
        <f t="shared" si="2"/>
        <v>BATEMONT Jeanne</v>
      </c>
    </row>
    <row r="24" spans="1:26" x14ac:dyDescent="0.25">
      <c r="A24" s="81">
        <v>15</v>
      </c>
      <c r="B24" s="90" t="s">
        <v>70</v>
      </c>
      <c r="C24" s="95" t="s">
        <v>71</v>
      </c>
      <c r="D24" s="88" t="s">
        <v>89</v>
      </c>
      <c r="E24" s="91" t="s">
        <v>111</v>
      </c>
      <c r="F24" s="81">
        <v>75016</v>
      </c>
      <c r="G24" s="99" t="s">
        <v>75</v>
      </c>
      <c r="H24" s="179">
        <f t="shared" si="0"/>
        <v>395</v>
      </c>
      <c r="I24">
        <v>14</v>
      </c>
      <c r="J24" s="93" t="s">
        <v>76</v>
      </c>
      <c r="K24" s="97">
        <v>365</v>
      </c>
      <c r="L24" s="82">
        <v>39</v>
      </c>
      <c r="M24" s="90" t="s">
        <v>77</v>
      </c>
      <c r="N24" s="98">
        <v>20</v>
      </c>
      <c r="O24" s="81">
        <v>64</v>
      </c>
      <c r="P24" s="103" t="s">
        <v>78</v>
      </c>
      <c r="Q24" s="97">
        <v>10</v>
      </c>
      <c r="R24" s="82"/>
      <c r="S24" s="81"/>
      <c r="T24" s="97"/>
      <c r="U24" s="81"/>
      <c r="W24" s="97"/>
      <c r="X24">
        <f t="shared" si="1"/>
        <v>15</v>
      </c>
      <c r="Y24" t="str">
        <f t="shared" si="2"/>
        <v>BAUDIARD Marcelin</v>
      </c>
    </row>
    <row r="25" spans="1:26" x14ac:dyDescent="0.25">
      <c r="A25" s="81">
        <v>16</v>
      </c>
      <c r="B25" s="90" t="s">
        <v>70</v>
      </c>
      <c r="C25" s="95" t="s">
        <v>71</v>
      </c>
      <c r="D25" s="88" t="s">
        <v>87</v>
      </c>
      <c r="E25" s="91" t="s">
        <v>112</v>
      </c>
      <c r="F25" s="81">
        <v>75016</v>
      </c>
      <c r="G25" s="99" t="s">
        <v>75</v>
      </c>
      <c r="H25" s="179">
        <f t="shared" si="0"/>
        <v>390</v>
      </c>
      <c r="I25">
        <v>15</v>
      </c>
      <c r="J25" s="93" t="s">
        <v>76</v>
      </c>
      <c r="K25" s="97">
        <v>335</v>
      </c>
      <c r="L25" s="82">
        <v>40</v>
      </c>
      <c r="M25" s="90" t="s">
        <v>77</v>
      </c>
      <c r="N25" s="98">
        <v>20</v>
      </c>
      <c r="O25" s="81">
        <v>65</v>
      </c>
      <c r="P25" s="103" t="s">
        <v>78</v>
      </c>
      <c r="Q25" s="97">
        <v>10</v>
      </c>
      <c r="R25" s="82"/>
      <c r="S25" s="81"/>
      <c r="T25" s="97"/>
      <c r="U25" s="81">
        <v>85</v>
      </c>
      <c r="V25" s="91" t="s">
        <v>80</v>
      </c>
      <c r="W25" s="97">
        <v>25</v>
      </c>
      <c r="X25">
        <f t="shared" si="1"/>
        <v>16</v>
      </c>
      <c r="Y25" t="str">
        <f t="shared" si="2"/>
        <v>BELARDIN Denis</v>
      </c>
      <c r="Z25" s="211" t="s">
        <v>180</v>
      </c>
    </row>
    <row r="26" spans="1:26" x14ac:dyDescent="0.25">
      <c r="A26" s="81">
        <v>17</v>
      </c>
      <c r="B26" s="90" t="s">
        <v>70</v>
      </c>
      <c r="C26" s="95" t="s">
        <v>71</v>
      </c>
      <c r="D26" s="88" t="s">
        <v>90</v>
      </c>
      <c r="E26" s="91" t="s">
        <v>109</v>
      </c>
      <c r="F26" s="81">
        <v>75016</v>
      </c>
      <c r="G26" s="99" t="s">
        <v>75</v>
      </c>
      <c r="H26" s="179">
        <f t="shared" si="0"/>
        <v>395</v>
      </c>
      <c r="I26">
        <v>17</v>
      </c>
      <c r="J26" s="93" t="s">
        <v>76</v>
      </c>
      <c r="K26" s="97">
        <v>365</v>
      </c>
      <c r="L26" s="82">
        <v>42</v>
      </c>
      <c r="M26" s="90" t="s">
        <v>77</v>
      </c>
      <c r="N26" s="98">
        <v>20</v>
      </c>
      <c r="O26" s="81">
        <v>67</v>
      </c>
      <c r="P26" s="103" t="s">
        <v>78</v>
      </c>
      <c r="Q26" s="97">
        <v>10</v>
      </c>
      <c r="R26" s="82"/>
      <c r="S26" s="81"/>
      <c r="T26" s="97"/>
      <c r="U26" s="81"/>
      <c r="W26" s="97"/>
      <c r="X26">
        <f t="shared" si="1"/>
        <v>17</v>
      </c>
      <c r="Y26" t="str">
        <f t="shared" si="2"/>
        <v>BERTELOT Marcel</v>
      </c>
    </row>
    <row r="27" spans="1:26" ht="14.25" customHeight="1" x14ac:dyDescent="0.25">
      <c r="A27" s="81">
        <v>18</v>
      </c>
      <c r="B27" s="90" t="s">
        <v>70</v>
      </c>
      <c r="C27" s="95" t="s">
        <v>72</v>
      </c>
      <c r="D27" s="88" t="s">
        <v>91</v>
      </c>
      <c r="E27" s="91" t="s">
        <v>110</v>
      </c>
      <c r="F27" s="81">
        <v>75016</v>
      </c>
      <c r="G27" s="99" t="s">
        <v>75</v>
      </c>
      <c r="H27" s="179">
        <f t="shared" si="0"/>
        <v>415</v>
      </c>
      <c r="I27">
        <v>18</v>
      </c>
      <c r="J27" s="93" t="s">
        <v>76</v>
      </c>
      <c r="K27" s="97">
        <v>385</v>
      </c>
      <c r="L27" s="82">
        <v>43</v>
      </c>
      <c r="M27" s="90" t="s">
        <v>77</v>
      </c>
      <c r="N27" s="98">
        <v>20</v>
      </c>
      <c r="O27" s="81">
        <v>68</v>
      </c>
      <c r="P27" s="103" t="s">
        <v>78</v>
      </c>
      <c r="Q27" s="97">
        <v>10</v>
      </c>
      <c r="R27" s="82"/>
      <c r="S27" s="81"/>
      <c r="T27" s="97"/>
      <c r="U27" s="81"/>
      <c r="W27" s="97"/>
      <c r="X27">
        <f t="shared" si="1"/>
        <v>18</v>
      </c>
      <c r="Y27" t="str">
        <f t="shared" si="2"/>
        <v>BESARDINI Luciennne</v>
      </c>
    </row>
    <row r="28" spans="1:26" ht="14.25" customHeight="1" x14ac:dyDescent="0.25">
      <c r="A28" s="81">
        <v>19</v>
      </c>
      <c r="B28" s="90" t="s">
        <v>70</v>
      </c>
      <c r="C28" s="95" t="s">
        <v>71</v>
      </c>
      <c r="D28" s="88" t="s">
        <v>92</v>
      </c>
      <c r="E28" s="91" t="s">
        <v>112</v>
      </c>
      <c r="F28" s="81">
        <v>75016</v>
      </c>
      <c r="G28" s="99" t="s">
        <v>75</v>
      </c>
      <c r="H28" s="179">
        <f t="shared" si="0"/>
        <v>480</v>
      </c>
      <c r="I28">
        <v>20</v>
      </c>
      <c r="J28" s="93" t="s">
        <v>76</v>
      </c>
      <c r="K28" s="97">
        <v>425</v>
      </c>
      <c r="L28" s="82">
        <v>45</v>
      </c>
      <c r="M28" s="90" t="s">
        <v>77</v>
      </c>
      <c r="N28" s="98">
        <v>20</v>
      </c>
      <c r="O28" s="81">
        <v>70</v>
      </c>
      <c r="P28" s="103" t="s">
        <v>78</v>
      </c>
      <c r="Q28" s="97">
        <v>10</v>
      </c>
      <c r="R28" s="82"/>
      <c r="S28" s="81"/>
      <c r="T28" s="97"/>
      <c r="U28" s="81">
        <v>87</v>
      </c>
      <c r="V28" s="91" t="s">
        <v>80</v>
      </c>
      <c r="W28" s="97">
        <v>25</v>
      </c>
      <c r="X28">
        <f t="shared" si="1"/>
        <v>19</v>
      </c>
      <c r="Y28" t="str">
        <f t="shared" si="2"/>
        <v>BICHEMONT Paul</v>
      </c>
      <c r="Z28" t="s">
        <v>171</v>
      </c>
    </row>
    <row r="29" spans="1:26" ht="15" customHeight="1" x14ac:dyDescent="0.25">
      <c r="A29" s="81">
        <v>20</v>
      </c>
      <c r="B29" s="90" t="s">
        <v>67</v>
      </c>
      <c r="C29" s="95" t="s">
        <v>71</v>
      </c>
      <c r="D29" s="88" t="s">
        <v>101</v>
      </c>
      <c r="E29" s="91" t="s">
        <v>102</v>
      </c>
      <c r="F29" s="81">
        <v>75016</v>
      </c>
      <c r="G29" s="99" t="s">
        <v>75</v>
      </c>
      <c r="H29" s="179">
        <f t="shared" si="0"/>
        <v>445</v>
      </c>
      <c r="I29">
        <v>21</v>
      </c>
      <c r="J29" s="93" t="s">
        <v>76</v>
      </c>
      <c r="K29" s="97">
        <v>415</v>
      </c>
      <c r="L29" s="82">
        <v>46</v>
      </c>
      <c r="M29" s="90" t="s">
        <v>77</v>
      </c>
      <c r="N29" s="98">
        <v>20</v>
      </c>
      <c r="O29" s="81">
        <v>71</v>
      </c>
      <c r="P29" s="103" t="s">
        <v>78</v>
      </c>
      <c r="Q29" s="97">
        <v>10</v>
      </c>
      <c r="R29" s="92"/>
      <c r="S29" s="81"/>
      <c r="T29" s="97"/>
      <c r="U29" s="81"/>
      <c r="W29" s="97"/>
      <c r="X29">
        <f t="shared" si="1"/>
        <v>20</v>
      </c>
      <c r="Y29" t="str">
        <f t="shared" si="2"/>
        <v>CARTON Louis</v>
      </c>
      <c r="Z29" t="s">
        <v>172</v>
      </c>
    </row>
    <row r="30" spans="1:26" ht="15.75" customHeight="1" x14ac:dyDescent="0.25">
      <c r="A30" s="81">
        <v>21</v>
      </c>
      <c r="B30" s="90" t="s">
        <v>69</v>
      </c>
      <c r="C30" s="95" t="s">
        <v>97</v>
      </c>
      <c r="D30" s="88" t="s">
        <v>103</v>
      </c>
      <c r="E30" s="91" t="s">
        <v>104</v>
      </c>
      <c r="F30" s="81">
        <v>75016</v>
      </c>
      <c r="G30" s="99" t="s">
        <v>75</v>
      </c>
      <c r="H30" s="179">
        <f t="shared" si="0"/>
        <v>400</v>
      </c>
      <c r="I30">
        <v>22</v>
      </c>
      <c r="J30" s="93" t="s">
        <v>76</v>
      </c>
      <c r="K30" s="97">
        <v>340</v>
      </c>
      <c r="L30" s="82">
        <v>47</v>
      </c>
      <c r="M30" s="90" t="s">
        <v>77</v>
      </c>
      <c r="N30" s="98">
        <v>20</v>
      </c>
      <c r="O30" s="81">
        <v>72</v>
      </c>
      <c r="P30" s="103" t="s">
        <v>78</v>
      </c>
      <c r="Q30" s="97">
        <v>10</v>
      </c>
      <c r="R30" s="92">
        <v>79</v>
      </c>
      <c r="S30" s="90" t="s">
        <v>79</v>
      </c>
      <c r="T30" s="97">
        <v>30</v>
      </c>
      <c r="U30" s="81"/>
      <c r="W30" s="97"/>
      <c r="X30">
        <f t="shared" si="1"/>
        <v>21</v>
      </c>
      <c r="Y30" t="str">
        <f t="shared" si="2"/>
        <v>DAGUILLON Jean-Pierre</v>
      </c>
    </row>
    <row r="31" spans="1:26" ht="15.75" customHeight="1" x14ac:dyDescent="0.25">
      <c r="A31" s="81">
        <v>22</v>
      </c>
      <c r="B31" s="90" t="s">
        <v>69</v>
      </c>
      <c r="C31" s="95" t="s">
        <v>97</v>
      </c>
      <c r="D31" s="88" t="s">
        <v>105</v>
      </c>
      <c r="E31" s="91" t="s">
        <v>106</v>
      </c>
      <c r="F31" s="81">
        <v>75016</v>
      </c>
      <c r="G31" s="99" t="s">
        <v>75</v>
      </c>
      <c r="H31" s="179">
        <f t="shared" si="0"/>
        <v>380</v>
      </c>
      <c r="I31">
        <v>23</v>
      </c>
      <c r="J31" s="93" t="s">
        <v>76</v>
      </c>
      <c r="K31" s="97">
        <v>325</v>
      </c>
      <c r="L31" s="82">
        <v>48</v>
      </c>
      <c r="M31" s="90" t="s">
        <v>77</v>
      </c>
      <c r="N31" s="98">
        <v>20</v>
      </c>
      <c r="O31" s="81">
        <v>73</v>
      </c>
      <c r="P31" s="103" t="s">
        <v>78</v>
      </c>
      <c r="Q31" s="97">
        <v>10</v>
      </c>
      <c r="R31" s="82"/>
      <c r="S31" s="81"/>
      <c r="T31" s="97"/>
      <c r="U31" s="81">
        <v>88</v>
      </c>
      <c r="V31" s="91" t="s">
        <v>80</v>
      </c>
      <c r="W31" s="97">
        <v>25</v>
      </c>
      <c r="X31">
        <f t="shared" si="1"/>
        <v>22</v>
      </c>
      <c r="Y31" t="str">
        <f t="shared" si="2"/>
        <v>FARDIN Sébastin</v>
      </c>
    </row>
    <row r="32" spans="1:26" ht="16.5" customHeight="1" x14ac:dyDescent="0.25">
      <c r="A32" s="81">
        <v>23</v>
      </c>
      <c r="B32" s="90" t="s">
        <v>70</v>
      </c>
      <c r="C32" s="95" t="s">
        <v>72</v>
      </c>
      <c r="D32" s="88" t="s">
        <v>107</v>
      </c>
      <c r="E32" s="91" t="s">
        <v>108</v>
      </c>
      <c r="F32" s="81">
        <v>75016</v>
      </c>
      <c r="G32" s="99" t="s">
        <v>75</v>
      </c>
      <c r="H32" s="179">
        <f t="shared" si="0"/>
        <v>390</v>
      </c>
      <c r="I32">
        <v>24</v>
      </c>
      <c r="J32" s="93" t="s">
        <v>76</v>
      </c>
      <c r="K32" s="97">
        <v>335</v>
      </c>
      <c r="L32" s="82">
        <v>49</v>
      </c>
      <c r="M32" s="90" t="s">
        <v>77</v>
      </c>
      <c r="N32" s="98">
        <v>20</v>
      </c>
      <c r="O32" s="81">
        <v>74</v>
      </c>
      <c r="P32" s="103" t="s">
        <v>78</v>
      </c>
      <c r="Q32" s="97">
        <v>10</v>
      </c>
      <c r="R32" s="82"/>
      <c r="S32" s="81"/>
      <c r="T32" s="97"/>
      <c r="U32" s="81">
        <v>89</v>
      </c>
      <c r="V32" s="91" t="s">
        <v>80</v>
      </c>
      <c r="W32" s="97">
        <v>25</v>
      </c>
      <c r="X32">
        <f t="shared" si="1"/>
        <v>23</v>
      </c>
      <c r="Y32" t="str">
        <f t="shared" si="2"/>
        <v>SEBARDIN Suzanne</v>
      </c>
    </row>
    <row r="33" spans="1:26" ht="15" customHeight="1" x14ac:dyDescent="0.25">
      <c r="A33" s="81">
        <v>24</v>
      </c>
      <c r="B33" s="90" t="s">
        <v>70</v>
      </c>
      <c r="C33" s="95" t="s">
        <v>72</v>
      </c>
      <c r="D33" s="88" t="s">
        <v>164</v>
      </c>
      <c r="E33" s="91" t="s">
        <v>113</v>
      </c>
      <c r="F33" s="81">
        <v>75016</v>
      </c>
      <c r="G33" s="99" t="s">
        <v>75</v>
      </c>
      <c r="H33" s="179">
        <f t="shared" si="0"/>
        <v>315</v>
      </c>
      <c r="I33">
        <v>16</v>
      </c>
      <c r="J33" s="93" t="s">
        <v>76</v>
      </c>
      <c r="K33" s="97">
        <v>285</v>
      </c>
      <c r="L33" s="82">
        <v>41</v>
      </c>
      <c r="M33" s="90" t="s">
        <v>77</v>
      </c>
      <c r="N33" s="98">
        <v>20</v>
      </c>
      <c r="O33" s="81">
        <v>66</v>
      </c>
      <c r="P33" s="103" t="s">
        <v>78</v>
      </c>
      <c r="Q33" s="97">
        <v>10</v>
      </c>
      <c r="R33" s="82"/>
      <c r="S33" s="81"/>
      <c r="T33" s="97"/>
      <c r="U33" s="81"/>
      <c r="W33" s="97"/>
      <c r="X33">
        <f t="shared" si="1"/>
        <v>24</v>
      </c>
      <c r="Y33" t="str">
        <f t="shared" si="2"/>
        <v>AUBERT Pierre</v>
      </c>
    </row>
    <row r="34" spans="1:26" ht="15" customHeight="1" x14ac:dyDescent="0.25">
      <c r="A34" s="81">
        <v>25</v>
      </c>
      <c r="B34" s="90" t="s">
        <v>70</v>
      </c>
      <c r="C34" s="95" t="s">
        <v>71</v>
      </c>
      <c r="D34" s="88" t="s">
        <v>99</v>
      </c>
      <c r="E34" s="91" t="s">
        <v>113</v>
      </c>
      <c r="F34" s="81">
        <v>75016</v>
      </c>
      <c r="G34" s="99" t="s">
        <v>75</v>
      </c>
      <c r="H34" s="179">
        <f t="shared" si="0"/>
        <v>480</v>
      </c>
      <c r="I34">
        <v>25</v>
      </c>
      <c r="J34" s="93" t="s">
        <v>76</v>
      </c>
      <c r="K34" s="97">
        <v>425</v>
      </c>
      <c r="L34" s="82">
        <v>50</v>
      </c>
      <c r="M34" s="90" t="s">
        <v>77</v>
      </c>
      <c r="N34" s="98">
        <v>20</v>
      </c>
      <c r="O34" s="81">
        <v>75</v>
      </c>
      <c r="P34" s="103" t="s">
        <v>78</v>
      </c>
      <c r="Q34" s="97">
        <v>10</v>
      </c>
      <c r="R34" s="82"/>
      <c r="S34" s="81"/>
      <c r="T34" s="97"/>
      <c r="U34" s="81">
        <v>90</v>
      </c>
      <c r="V34" s="91" t="s">
        <v>80</v>
      </c>
      <c r="W34" s="97">
        <v>25</v>
      </c>
      <c r="X34">
        <f t="shared" si="1"/>
        <v>25</v>
      </c>
      <c r="Y34" t="str">
        <f t="shared" si="2"/>
        <v>WEBER Jean Pierre</v>
      </c>
      <c r="Z34" s="211" t="s">
        <v>173</v>
      </c>
    </row>
    <row r="35" spans="1:26" x14ac:dyDescent="0.25">
      <c r="A35" s="81">
        <v>26</v>
      </c>
      <c r="B35" s="187"/>
      <c r="C35" s="188"/>
      <c r="D35" s="88"/>
      <c r="E35" s="91"/>
      <c r="F35" s="90"/>
      <c r="G35" s="99"/>
      <c r="H35" s="179" t="str">
        <f t="shared" si="0"/>
        <v/>
      </c>
      <c r="J35" s="93"/>
      <c r="K35" s="97"/>
      <c r="L35" s="82"/>
      <c r="M35" s="81"/>
      <c r="N35" s="98"/>
      <c r="O35" s="81"/>
      <c r="P35" s="82"/>
      <c r="Q35" s="97"/>
      <c r="R35" s="82"/>
      <c r="S35" s="81"/>
      <c r="T35" s="97"/>
      <c r="U35" s="81"/>
      <c r="W35" s="97"/>
      <c r="X35">
        <f t="shared" si="1"/>
        <v>26</v>
      </c>
      <c r="Y35">
        <f t="shared" si="2"/>
        <v>0</v>
      </c>
    </row>
    <row r="36" spans="1:26" x14ac:dyDescent="0.25">
      <c r="A36" s="81">
        <v>27</v>
      </c>
      <c r="B36" s="81"/>
      <c r="D36" s="88"/>
      <c r="F36" s="81"/>
      <c r="H36" s="179" t="str">
        <f t="shared" si="0"/>
        <v/>
      </c>
      <c r="I36" s="189"/>
      <c r="J36" s="83"/>
      <c r="K36" s="97"/>
      <c r="L36" s="82"/>
      <c r="M36" s="81"/>
      <c r="N36" s="98"/>
      <c r="O36" s="81"/>
      <c r="P36" s="82"/>
      <c r="Q36" s="97"/>
      <c r="R36" s="82"/>
      <c r="S36" s="81"/>
      <c r="T36" s="97"/>
      <c r="U36" s="81"/>
      <c r="W36" s="97"/>
      <c r="X36">
        <f t="shared" si="1"/>
        <v>27</v>
      </c>
      <c r="Y36">
        <f t="shared" si="2"/>
        <v>0</v>
      </c>
    </row>
    <row r="37" spans="1:26" x14ac:dyDescent="0.25">
      <c r="A37" s="81">
        <v>28</v>
      </c>
      <c r="B37" s="81"/>
      <c r="D37" s="88"/>
      <c r="F37" s="81"/>
      <c r="H37" s="179" t="str">
        <f t="shared" si="0"/>
        <v/>
      </c>
      <c r="J37" s="83"/>
      <c r="K37" s="97"/>
      <c r="L37" s="82"/>
      <c r="M37" s="81"/>
      <c r="N37" s="98"/>
      <c r="O37" s="81"/>
      <c r="P37" s="82"/>
      <c r="Q37" s="97"/>
      <c r="R37" s="82"/>
      <c r="S37" s="81"/>
      <c r="T37" s="97"/>
      <c r="U37" s="81"/>
      <c r="W37" s="97"/>
      <c r="X37">
        <f t="shared" si="1"/>
        <v>28</v>
      </c>
      <c r="Y37">
        <f t="shared" si="2"/>
        <v>0</v>
      </c>
    </row>
    <row r="38" spans="1:26" x14ac:dyDescent="0.25">
      <c r="A38" s="81">
        <v>29</v>
      </c>
      <c r="B38" s="90"/>
      <c r="C38" s="91"/>
      <c r="D38" s="88"/>
      <c r="E38" s="91"/>
      <c r="F38" s="81"/>
      <c r="G38" s="99"/>
      <c r="H38" s="179" t="str">
        <f t="shared" si="0"/>
        <v/>
      </c>
      <c r="J38" s="93"/>
      <c r="K38" s="97"/>
      <c r="L38" s="82"/>
      <c r="M38" s="81"/>
      <c r="N38" s="98"/>
      <c r="O38" s="81"/>
      <c r="P38" s="82"/>
      <c r="Q38" s="97"/>
      <c r="R38" s="82"/>
      <c r="S38" s="90"/>
      <c r="T38" s="97"/>
      <c r="U38" s="81"/>
      <c r="V38" s="91"/>
      <c r="W38" s="97"/>
      <c r="X38">
        <f t="shared" si="1"/>
        <v>29</v>
      </c>
    </row>
    <row r="39" spans="1:26" x14ac:dyDescent="0.25">
      <c r="A39" s="81">
        <v>30</v>
      </c>
      <c r="B39" s="81" t="s">
        <v>175</v>
      </c>
      <c r="C39" t="s">
        <v>71</v>
      </c>
      <c r="D39" s="88"/>
      <c r="F39" s="81"/>
      <c r="G39" s="101"/>
      <c r="H39" s="179" t="str">
        <f t="shared" si="0"/>
        <v/>
      </c>
      <c r="J39" s="83"/>
      <c r="K39" s="97"/>
      <c r="L39" s="82"/>
      <c r="M39" s="81"/>
      <c r="N39" s="98"/>
      <c r="O39" s="81"/>
      <c r="P39" s="82"/>
      <c r="Q39" s="97"/>
      <c r="R39" s="82"/>
      <c r="S39" s="81"/>
      <c r="T39" s="97"/>
      <c r="U39" s="81"/>
      <c r="W39" s="97"/>
      <c r="X39">
        <f t="shared" si="1"/>
        <v>30</v>
      </c>
      <c r="Y39">
        <f t="shared" si="2"/>
        <v>0</v>
      </c>
    </row>
    <row r="40" spans="1:26" x14ac:dyDescent="0.25">
      <c r="A40" s="81">
        <v>31</v>
      </c>
      <c r="B40" s="81"/>
      <c r="D40" s="88"/>
      <c r="F40" s="81"/>
      <c r="H40" s="179" t="str">
        <f t="shared" si="0"/>
        <v/>
      </c>
      <c r="J40" s="83"/>
      <c r="K40" s="97"/>
      <c r="L40" s="82"/>
      <c r="M40" s="81"/>
      <c r="N40" s="98"/>
      <c r="O40" s="81"/>
      <c r="P40" s="82"/>
      <c r="Q40" s="97"/>
      <c r="R40" s="82"/>
      <c r="S40" s="81"/>
      <c r="T40" s="97"/>
      <c r="U40" s="81"/>
      <c r="W40" s="97"/>
      <c r="X40">
        <f t="shared" si="1"/>
        <v>31</v>
      </c>
      <c r="Y40">
        <f t="shared" si="2"/>
        <v>0</v>
      </c>
    </row>
    <row r="41" spans="1:26" x14ac:dyDescent="0.25">
      <c r="A41" s="81">
        <v>32</v>
      </c>
      <c r="B41" s="81"/>
      <c r="D41" s="88"/>
      <c r="F41" s="81"/>
      <c r="H41" s="179" t="str">
        <f t="shared" si="0"/>
        <v/>
      </c>
      <c r="J41" s="83"/>
      <c r="K41" s="97"/>
      <c r="L41" s="82"/>
      <c r="M41" s="81"/>
      <c r="N41" s="98"/>
      <c r="O41" s="81"/>
      <c r="P41" s="82"/>
      <c r="Q41" s="97"/>
      <c r="R41" s="82"/>
      <c r="S41" s="81"/>
      <c r="T41" s="97"/>
      <c r="U41" s="81"/>
      <c r="W41" s="97"/>
      <c r="X41">
        <f t="shared" si="1"/>
        <v>32</v>
      </c>
      <c r="Y41">
        <f t="shared" si="2"/>
        <v>0</v>
      </c>
    </row>
    <row r="42" spans="1:26" x14ac:dyDescent="0.25">
      <c r="A42" s="81">
        <v>33</v>
      </c>
      <c r="B42" s="81"/>
      <c r="D42" s="88"/>
      <c r="F42" s="81"/>
      <c r="H42" s="179" t="str">
        <f t="shared" ref="H42:H59" si="3">IF(K42+N42+Q42+W42&gt;0,K42+N42+Q42+T42+W42,"")</f>
        <v/>
      </c>
      <c r="J42" s="83"/>
      <c r="K42" s="97"/>
      <c r="L42" s="82"/>
      <c r="M42" s="81"/>
      <c r="N42" s="98"/>
      <c r="O42" s="81"/>
      <c r="P42" s="82"/>
      <c r="Q42" s="97"/>
      <c r="R42" s="82"/>
      <c r="S42" s="81"/>
      <c r="T42" s="97"/>
      <c r="U42" s="81"/>
      <c r="W42" s="97"/>
      <c r="X42">
        <f t="shared" si="1"/>
        <v>33</v>
      </c>
      <c r="Y42">
        <f t="shared" si="2"/>
        <v>0</v>
      </c>
    </row>
    <row r="43" spans="1:26" x14ac:dyDescent="0.25">
      <c r="A43" s="81">
        <v>34</v>
      </c>
      <c r="B43" s="81"/>
      <c r="D43" s="88"/>
      <c r="F43" s="81"/>
      <c r="H43" s="179" t="str">
        <f t="shared" si="3"/>
        <v/>
      </c>
      <c r="J43" s="83"/>
      <c r="K43" s="97"/>
      <c r="L43" s="82"/>
      <c r="M43" s="81"/>
      <c r="N43" s="98"/>
      <c r="O43" s="81"/>
      <c r="P43" s="82"/>
      <c r="Q43" s="97"/>
      <c r="R43" s="82"/>
      <c r="S43" s="81"/>
      <c r="T43" s="97"/>
      <c r="U43" s="81"/>
      <c r="W43" s="97"/>
      <c r="X43">
        <f t="shared" si="1"/>
        <v>34</v>
      </c>
      <c r="Y43">
        <f t="shared" si="2"/>
        <v>0</v>
      </c>
    </row>
    <row r="44" spans="1:26" x14ac:dyDescent="0.25">
      <c r="A44" s="81">
        <v>35</v>
      </c>
      <c r="B44" s="81"/>
      <c r="D44" s="88"/>
      <c r="F44" s="81"/>
      <c r="H44" s="179" t="str">
        <f t="shared" si="3"/>
        <v/>
      </c>
      <c r="J44" s="83"/>
      <c r="K44" s="97"/>
      <c r="L44" s="82"/>
      <c r="M44" s="81"/>
      <c r="N44" s="98"/>
      <c r="O44" s="81"/>
      <c r="P44" s="82"/>
      <c r="Q44" s="97"/>
      <c r="R44" s="82"/>
      <c r="S44" s="81"/>
      <c r="T44" s="97"/>
      <c r="U44" s="81"/>
      <c r="W44" s="97"/>
      <c r="X44">
        <f t="shared" si="1"/>
        <v>35</v>
      </c>
      <c r="Y44">
        <f t="shared" si="2"/>
        <v>0</v>
      </c>
    </row>
    <row r="45" spans="1:26" x14ac:dyDescent="0.25">
      <c r="A45" s="81">
        <v>36</v>
      </c>
      <c r="B45" s="81"/>
      <c r="D45" s="88"/>
      <c r="F45" s="81"/>
      <c r="H45" s="179" t="str">
        <f t="shared" si="3"/>
        <v/>
      </c>
      <c r="J45" s="83"/>
      <c r="K45" s="97"/>
      <c r="L45" s="82"/>
      <c r="M45" s="81"/>
      <c r="N45" s="98"/>
      <c r="O45" s="81"/>
      <c r="P45" s="82"/>
      <c r="Q45" s="97"/>
      <c r="R45" s="82"/>
      <c r="S45" s="81"/>
      <c r="T45" s="97"/>
      <c r="U45" s="81"/>
      <c r="W45" s="97"/>
      <c r="X45">
        <f t="shared" si="1"/>
        <v>36</v>
      </c>
      <c r="Y45">
        <f t="shared" si="2"/>
        <v>0</v>
      </c>
    </row>
    <row r="46" spans="1:26" x14ac:dyDescent="0.25">
      <c r="A46" s="81">
        <v>37</v>
      </c>
      <c r="B46" s="81"/>
      <c r="D46" s="88"/>
      <c r="F46" s="81"/>
      <c r="H46" s="179" t="str">
        <f t="shared" si="3"/>
        <v/>
      </c>
      <c r="J46" s="83"/>
      <c r="K46" s="97"/>
      <c r="L46" s="82"/>
      <c r="M46" s="81"/>
      <c r="N46" s="98"/>
      <c r="O46" s="81"/>
      <c r="P46" s="82"/>
      <c r="Q46" s="97"/>
      <c r="R46" s="82"/>
      <c r="S46" s="81"/>
      <c r="T46" s="97"/>
      <c r="U46" s="81"/>
      <c r="W46" s="97"/>
      <c r="X46">
        <f t="shared" si="1"/>
        <v>37</v>
      </c>
      <c r="Y46">
        <f t="shared" si="2"/>
        <v>0</v>
      </c>
    </row>
    <row r="47" spans="1:26" x14ac:dyDescent="0.25">
      <c r="A47" s="81">
        <v>38</v>
      </c>
      <c r="B47" s="81"/>
      <c r="D47" s="88"/>
      <c r="F47" s="81"/>
      <c r="H47" s="179" t="str">
        <f t="shared" si="3"/>
        <v/>
      </c>
      <c r="I47" s="81"/>
      <c r="J47" s="82"/>
      <c r="K47" s="97"/>
      <c r="L47" s="82"/>
      <c r="M47" s="81"/>
      <c r="N47" s="98"/>
      <c r="O47" s="81"/>
      <c r="P47" s="82"/>
      <c r="Q47" s="97"/>
      <c r="R47" s="82"/>
      <c r="S47" s="81"/>
      <c r="T47" s="97"/>
      <c r="U47" s="81"/>
      <c r="W47" s="97"/>
      <c r="X47">
        <f t="shared" si="1"/>
        <v>38</v>
      </c>
      <c r="Y47">
        <f t="shared" si="2"/>
        <v>0</v>
      </c>
    </row>
    <row r="48" spans="1:26" x14ac:dyDescent="0.25">
      <c r="A48" s="81">
        <v>39</v>
      </c>
      <c r="B48" s="81"/>
      <c r="D48" s="88"/>
      <c r="F48" s="81"/>
      <c r="H48" s="179" t="str">
        <f t="shared" si="3"/>
        <v/>
      </c>
      <c r="I48" s="81"/>
      <c r="J48" s="82"/>
      <c r="K48" s="97"/>
      <c r="L48" s="81"/>
      <c r="M48" s="82"/>
      <c r="N48" s="97"/>
      <c r="O48" s="82"/>
      <c r="P48" s="81"/>
      <c r="Q48" s="97"/>
      <c r="R48" s="81"/>
      <c r="S48" s="82"/>
      <c r="T48" s="97"/>
      <c r="U48" s="82"/>
      <c r="V48" s="81"/>
      <c r="W48" s="97"/>
      <c r="X48">
        <f t="shared" si="1"/>
        <v>39</v>
      </c>
      <c r="Y48">
        <f t="shared" si="2"/>
        <v>0</v>
      </c>
    </row>
    <row r="49" spans="1:25" x14ac:dyDescent="0.25">
      <c r="A49" s="81">
        <v>40</v>
      </c>
      <c r="B49" s="81"/>
      <c r="D49" s="88"/>
      <c r="F49" s="81"/>
      <c r="H49" s="179" t="str">
        <f t="shared" si="3"/>
        <v/>
      </c>
      <c r="I49" s="81"/>
      <c r="J49" s="82"/>
      <c r="K49" s="97"/>
      <c r="L49" s="81"/>
      <c r="M49" s="82"/>
      <c r="N49" s="97"/>
      <c r="O49" s="82"/>
      <c r="P49" s="81"/>
      <c r="Q49" s="97"/>
      <c r="R49" s="81"/>
      <c r="S49" s="82"/>
      <c r="T49" s="97"/>
      <c r="U49" s="82"/>
      <c r="V49" s="81"/>
      <c r="W49" s="97"/>
      <c r="X49">
        <f t="shared" si="1"/>
        <v>40</v>
      </c>
      <c r="Y49">
        <f t="shared" si="2"/>
        <v>0</v>
      </c>
    </row>
    <row r="50" spans="1:25" x14ac:dyDescent="0.25">
      <c r="A50" s="81">
        <v>41</v>
      </c>
      <c r="B50" s="81"/>
      <c r="D50" s="88"/>
      <c r="F50" s="81"/>
      <c r="H50" s="179" t="str">
        <f t="shared" si="3"/>
        <v/>
      </c>
      <c r="I50" s="81"/>
      <c r="J50" s="82"/>
      <c r="K50" s="97"/>
      <c r="L50" s="81"/>
      <c r="M50" s="82"/>
      <c r="N50" s="97"/>
      <c r="O50" s="82"/>
      <c r="P50" s="81"/>
      <c r="Q50" s="97"/>
      <c r="R50" s="81"/>
      <c r="S50" s="82"/>
      <c r="T50" s="97"/>
      <c r="U50" s="82"/>
      <c r="V50" s="81"/>
      <c r="W50" s="97"/>
      <c r="X50">
        <f t="shared" si="1"/>
        <v>41</v>
      </c>
      <c r="Y50">
        <f t="shared" si="2"/>
        <v>0</v>
      </c>
    </row>
    <row r="51" spans="1:25" x14ac:dyDescent="0.25">
      <c r="A51" s="81">
        <v>42</v>
      </c>
      <c r="B51" s="81"/>
      <c r="D51" s="88"/>
      <c r="F51" s="81"/>
      <c r="H51" s="179" t="str">
        <f t="shared" si="3"/>
        <v/>
      </c>
      <c r="I51" s="81"/>
      <c r="J51" s="82"/>
      <c r="K51" s="97"/>
      <c r="L51" s="81"/>
      <c r="M51" s="82"/>
      <c r="N51" s="97"/>
      <c r="O51" s="82"/>
      <c r="P51" s="81"/>
      <c r="Q51" s="97"/>
      <c r="R51" s="81"/>
      <c r="S51" s="82"/>
      <c r="T51" s="97"/>
      <c r="U51" s="82"/>
      <c r="V51" s="81"/>
      <c r="W51" s="97"/>
      <c r="X51">
        <f t="shared" si="1"/>
        <v>42</v>
      </c>
      <c r="Y51">
        <f t="shared" si="2"/>
        <v>0</v>
      </c>
    </row>
    <row r="52" spans="1:25" x14ac:dyDescent="0.25">
      <c r="A52" s="81">
        <v>43</v>
      </c>
      <c r="B52" s="81"/>
      <c r="D52" s="88"/>
      <c r="F52" s="81"/>
      <c r="H52" s="179" t="str">
        <f t="shared" si="3"/>
        <v/>
      </c>
      <c r="I52" s="81"/>
      <c r="J52" s="82"/>
      <c r="K52" s="97"/>
      <c r="L52" s="81"/>
      <c r="M52" s="82"/>
      <c r="N52" s="97"/>
      <c r="O52" s="82"/>
      <c r="P52" s="81"/>
      <c r="Q52" s="97"/>
      <c r="R52" s="81"/>
      <c r="S52" s="82"/>
      <c r="T52" s="97"/>
      <c r="U52" s="82"/>
      <c r="V52" s="81"/>
      <c r="W52" s="97"/>
      <c r="X52">
        <f t="shared" si="1"/>
        <v>43</v>
      </c>
      <c r="Y52">
        <f t="shared" si="2"/>
        <v>0</v>
      </c>
    </row>
    <row r="53" spans="1:25" x14ac:dyDescent="0.25">
      <c r="A53" s="81">
        <v>44</v>
      </c>
      <c r="B53" s="81"/>
      <c r="D53" s="88"/>
      <c r="F53" s="81"/>
      <c r="H53" s="179" t="str">
        <f t="shared" si="3"/>
        <v/>
      </c>
      <c r="I53" s="81"/>
      <c r="J53" s="82"/>
      <c r="K53" s="97"/>
      <c r="L53" s="81"/>
      <c r="M53" s="82"/>
      <c r="N53" s="97"/>
      <c r="O53" s="82"/>
      <c r="P53" s="81"/>
      <c r="Q53" s="97"/>
      <c r="R53" s="81"/>
      <c r="S53" s="82"/>
      <c r="T53" s="97"/>
      <c r="U53" s="82"/>
      <c r="V53" s="81"/>
      <c r="W53" s="97"/>
      <c r="X53">
        <f t="shared" si="1"/>
        <v>44</v>
      </c>
      <c r="Y53">
        <f t="shared" si="2"/>
        <v>0</v>
      </c>
    </row>
    <row r="54" spans="1:25" x14ac:dyDescent="0.25">
      <c r="A54" s="81">
        <v>45</v>
      </c>
      <c r="B54" s="81"/>
      <c r="D54" s="88"/>
      <c r="F54" s="81"/>
      <c r="H54" s="179" t="str">
        <f t="shared" si="3"/>
        <v/>
      </c>
      <c r="I54" s="81"/>
      <c r="J54" s="82"/>
      <c r="K54" s="97"/>
      <c r="L54" s="81"/>
      <c r="M54" s="82"/>
      <c r="N54" s="97"/>
      <c r="O54" s="82"/>
      <c r="P54" s="81"/>
      <c r="Q54" s="97"/>
      <c r="R54" s="81"/>
      <c r="S54" s="82"/>
      <c r="T54" s="97"/>
      <c r="U54" s="82"/>
      <c r="V54" s="81"/>
      <c r="W54" s="97"/>
      <c r="X54">
        <f t="shared" si="1"/>
        <v>45</v>
      </c>
      <c r="Y54">
        <f t="shared" si="2"/>
        <v>0</v>
      </c>
    </row>
    <row r="55" spans="1:25" x14ac:dyDescent="0.25">
      <c r="A55" s="81">
        <v>46</v>
      </c>
      <c r="B55" s="81"/>
      <c r="D55" s="88"/>
      <c r="F55" s="81"/>
      <c r="H55" s="179" t="str">
        <f t="shared" si="3"/>
        <v/>
      </c>
      <c r="I55" s="81"/>
      <c r="J55" s="82"/>
      <c r="K55" s="97"/>
      <c r="L55" s="81"/>
      <c r="M55" s="82"/>
      <c r="N55" s="97"/>
      <c r="O55" s="82"/>
      <c r="P55" s="81"/>
      <c r="Q55" s="97"/>
      <c r="R55" s="81"/>
      <c r="S55" s="82"/>
      <c r="T55" s="97"/>
      <c r="U55" s="82"/>
      <c r="V55" s="81"/>
      <c r="W55" s="97"/>
      <c r="X55">
        <f t="shared" si="1"/>
        <v>46</v>
      </c>
      <c r="Y55">
        <f t="shared" si="2"/>
        <v>0</v>
      </c>
    </row>
    <row r="56" spans="1:25" x14ac:dyDescent="0.25">
      <c r="A56" s="81">
        <v>47</v>
      </c>
      <c r="B56" s="81"/>
      <c r="D56" s="88"/>
      <c r="F56" s="81"/>
      <c r="H56" s="179" t="str">
        <f t="shared" si="3"/>
        <v/>
      </c>
      <c r="I56" s="81"/>
      <c r="J56" s="82"/>
      <c r="K56" s="97"/>
      <c r="L56" s="81"/>
      <c r="M56" s="82"/>
      <c r="N56" s="97"/>
      <c r="O56" s="82"/>
      <c r="P56" s="81"/>
      <c r="Q56" s="97"/>
      <c r="R56" s="81"/>
      <c r="S56" s="82"/>
      <c r="T56" s="97"/>
      <c r="U56" s="82"/>
      <c r="V56" s="81"/>
      <c r="W56" s="97"/>
      <c r="X56">
        <f t="shared" si="1"/>
        <v>47</v>
      </c>
      <c r="Y56">
        <f t="shared" si="2"/>
        <v>0</v>
      </c>
    </row>
    <row r="57" spans="1:25" x14ac:dyDescent="0.25">
      <c r="A57" s="81">
        <v>48</v>
      </c>
      <c r="B57" s="81"/>
      <c r="D57" s="88"/>
      <c r="F57" s="81"/>
      <c r="H57" s="179" t="str">
        <f t="shared" si="3"/>
        <v/>
      </c>
      <c r="I57" s="81"/>
      <c r="J57" s="82"/>
      <c r="K57" s="97"/>
      <c r="L57" s="81"/>
      <c r="M57" s="82"/>
      <c r="N57" s="97"/>
      <c r="O57" s="82"/>
      <c r="P57" s="81"/>
      <c r="Q57" s="97"/>
      <c r="R57" s="81"/>
      <c r="S57" s="82"/>
      <c r="T57" s="97"/>
      <c r="U57" s="82"/>
      <c r="V57" s="81"/>
      <c r="W57" s="97"/>
      <c r="X57">
        <f t="shared" si="1"/>
        <v>48</v>
      </c>
      <c r="Y57">
        <f t="shared" si="2"/>
        <v>0</v>
      </c>
    </row>
    <row r="58" spans="1:25" x14ac:dyDescent="0.25">
      <c r="A58" s="81">
        <v>49</v>
      </c>
      <c r="B58" s="81"/>
      <c r="D58" s="88"/>
      <c r="F58" s="81"/>
      <c r="H58" s="179" t="str">
        <f t="shared" si="3"/>
        <v/>
      </c>
      <c r="I58" s="81"/>
      <c r="J58" s="82"/>
      <c r="K58" s="97"/>
      <c r="L58" s="81"/>
      <c r="M58" s="82"/>
      <c r="N58" s="97"/>
      <c r="O58" s="82"/>
      <c r="P58" s="81"/>
      <c r="Q58" s="97"/>
      <c r="R58" s="81"/>
      <c r="S58" s="82"/>
      <c r="T58" s="97"/>
      <c r="U58" s="82"/>
      <c r="V58" s="81"/>
      <c r="W58" s="97"/>
      <c r="X58">
        <f t="shared" si="1"/>
        <v>49</v>
      </c>
      <c r="Y58">
        <f t="shared" si="2"/>
        <v>0</v>
      </c>
    </row>
    <row r="59" spans="1:25" x14ac:dyDescent="0.25">
      <c r="A59" s="81">
        <v>50</v>
      </c>
      <c r="B59" s="81"/>
      <c r="D59" s="88"/>
      <c r="F59" s="37"/>
      <c r="H59" s="179" t="str">
        <f t="shared" si="3"/>
        <v/>
      </c>
      <c r="I59" s="81"/>
      <c r="J59" s="82"/>
      <c r="K59" s="97"/>
      <c r="L59" s="81"/>
      <c r="M59" s="82"/>
      <c r="N59" s="105"/>
      <c r="O59" s="82"/>
      <c r="P59" s="81"/>
      <c r="Q59" s="97"/>
      <c r="R59" s="81"/>
      <c r="S59" s="82"/>
      <c r="T59" s="96"/>
      <c r="U59" s="82"/>
      <c r="V59" s="81"/>
      <c r="W59" s="97"/>
      <c r="X59">
        <f t="shared" si="1"/>
        <v>50</v>
      </c>
      <c r="Y59">
        <f t="shared" si="2"/>
        <v>0</v>
      </c>
    </row>
    <row r="60" spans="1:25" x14ac:dyDescent="0.25">
      <c r="A60" s="85"/>
      <c r="B60" s="85"/>
      <c r="C60" s="85"/>
      <c r="D60" s="85"/>
      <c r="E60" s="85"/>
      <c r="F60" s="85"/>
      <c r="G60" t="str">
        <f>IF($H$60-$K$60-$N$60-$Q$60-$T$60-$W$60=0,"","ERREUR")</f>
        <v/>
      </c>
      <c r="H60" s="178">
        <f>SUM($H$10:$H$59)</f>
        <v>10000</v>
      </c>
      <c r="I60" s="85"/>
      <c r="J60" s="85"/>
      <c r="K60" s="104">
        <f>SUM(K10:K59)</f>
        <v>8845</v>
      </c>
      <c r="L60" s="85"/>
      <c r="M60" s="85"/>
      <c r="N60" s="104">
        <f>SUM(N10:N59)</f>
        <v>500</v>
      </c>
      <c r="O60" s="85"/>
      <c r="P60" s="85"/>
      <c r="Q60" s="104">
        <f>SUM(Q10:Q59)</f>
        <v>250</v>
      </c>
      <c r="R60" s="85"/>
      <c r="S60" s="85"/>
      <c r="T60" s="104">
        <f>SUM(T10:T59)</f>
        <v>180</v>
      </c>
      <c r="U60" s="85"/>
      <c r="V60" s="85"/>
      <c r="W60" s="104">
        <f>SUM(W10:W59)</f>
        <v>225</v>
      </c>
      <c r="X60" t="str">
        <f>IF($H$60-$K$60-$N$60-$Q$60-$T$60-$W$60=0,"","ERREUR")</f>
        <v/>
      </c>
    </row>
  </sheetData>
  <sortState ref="A10:W60">
    <sortCondition ref="D10"/>
  </sortState>
  <dataValidations count="1">
    <dataValidation type="custom" allowBlank="1" showInputMessage="1" showErrorMessage="1" sqref="G1:H1 H10:H59 I36">
      <formula1>"&gt;=1"</formula1>
    </dataValidation>
  </dataValidations>
  <hyperlinks>
    <hyperlink ref="Z10" r:id="rId1"/>
    <hyperlink ref="Z12" r:id="rId2"/>
    <hyperlink ref="Z20" r:id="rId3"/>
    <hyperlink ref="Z34" r:id="rId4"/>
    <hyperlink ref="Z25" r:id="rId5"/>
  </hyperlinks>
  <printOptions headings="1"/>
  <pageMargins left="0.70866141732283472" right="0.70866141732283472" top="0.74803149606299213" bottom="0.74803149606299213" header="0.31496062992125984" footer="0.31496062992125984"/>
  <pageSetup paperSize="9" pageOrder="overThenDown" orientation="landscape" horizontalDpi="4294967293" verticalDpi="0" r:id="rId6"/>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9"/>
  </sheetPr>
  <dimension ref="A1:O485"/>
  <sheetViews>
    <sheetView showWhiteSpace="0" topLeftCell="A73" zoomScaleNormal="100" workbookViewId="0">
      <selection activeCell="N6" sqref="N6"/>
    </sheetView>
  </sheetViews>
  <sheetFormatPr baseColWidth="10" defaultRowHeight="13.2" x14ac:dyDescent="0.25"/>
  <cols>
    <col min="4" max="4" width="5.44140625" customWidth="1"/>
    <col min="6" max="6" width="4.88671875" customWidth="1"/>
    <col min="7" max="7" width="18" customWidth="1"/>
    <col min="13" max="13" width="3" customWidth="1"/>
  </cols>
  <sheetData>
    <row r="1" spans="1:15" x14ac:dyDescent="0.25">
      <c r="L1" s="82"/>
      <c r="M1" s="82"/>
    </row>
    <row r="2" spans="1:15" ht="17.399999999999999" x14ac:dyDescent="0.3">
      <c r="D2" s="112" t="s">
        <v>93</v>
      </c>
      <c r="E2" s="112"/>
      <c r="F2" s="112"/>
      <c r="K2" s="133" t="s">
        <v>98</v>
      </c>
      <c r="L2" s="194">
        <v>1</v>
      </c>
      <c r="M2" s="82"/>
    </row>
    <row r="3" spans="1:15" x14ac:dyDescent="0.25">
      <c r="E3" s="133"/>
      <c r="F3" s="117" t="s">
        <v>166</v>
      </c>
      <c r="G3" s="152">
        <f>IF(A6&gt;0,Liste!$C$1,"")</f>
        <v>44084</v>
      </c>
      <c r="L3" s="82"/>
      <c r="M3" s="82"/>
    </row>
    <row r="4" spans="1:15" x14ac:dyDescent="0.25">
      <c r="D4" t="str">
        <f>IF(A6&gt;0,Liste!$C$3&amp;"; "&amp;Liste!$C$4&amp;" "&amp;Liste!$C$5,"""")</f>
        <v>Résidence Le Paradis; Rue de l' espoir 75016 PARIS</v>
      </c>
      <c r="E4" s="152"/>
      <c r="F4" s="152"/>
      <c r="G4" s="152"/>
      <c r="J4" s="199">
        <f>SUM($E$5:$E$1000)</f>
        <v>10000</v>
      </c>
      <c r="K4" t="str">
        <f>IF(J4-L4=0,"","ERREUR")</f>
        <v/>
      </c>
      <c r="L4" s="197">
        <f>SUM(C5:C1000)</f>
        <v>10000</v>
      </c>
      <c r="M4" s="180"/>
      <c r="N4" s="82"/>
      <c r="O4" s="198"/>
    </row>
    <row r="5" spans="1:15" ht="13.8" thickBot="1" x14ac:dyDescent="0.3">
      <c r="A5" s="122"/>
      <c r="B5" s="122"/>
      <c r="C5" s="122"/>
      <c r="D5" s="122"/>
      <c r="E5" s="122"/>
      <c r="F5" s="122"/>
      <c r="G5" s="122"/>
      <c r="H5" s="122"/>
      <c r="I5" s="122"/>
      <c r="J5" s="122"/>
      <c r="K5" s="122"/>
      <c r="L5" s="122"/>
      <c r="M5" s="82"/>
      <c r="N5" s="82"/>
      <c r="O5" s="82"/>
    </row>
    <row r="6" spans="1:15" ht="18" customHeight="1" x14ac:dyDescent="0.25">
      <c r="A6" s="191">
        <f>Liste!G1</f>
        <v>1</v>
      </c>
      <c r="B6" s="200"/>
      <c r="C6" s="82"/>
      <c r="D6" s="82"/>
      <c r="E6" s="82"/>
      <c r="F6" s="183"/>
      <c r="G6" s="181" t="s">
        <v>162</v>
      </c>
      <c r="H6" s="166"/>
      <c r="I6" s="166"/>
      <c r="J6" s="166"/>
      <c r="K6" s="166"/>
      <c r="L6" s="175"/>
      <c r="M6" s="82"/>
    </row>
    <row r="7" spans="1:15" ht="18" thickBot="1" x14ac:dyDescent="0.35">
      <c r="A7" s="83" t="str">
        <f>IF($A6&lt;&gt;0,VLOOKUP($A6,Liste!$A$10:$W$59,3,FALSE),"")</f>
        <v>Monsieur</v>
      </c>
      <c r="B7" s="201" t="str">
        <f>IF($A6&lt;&gt;0,VLOOKUP($A6,Liste!$A$10:$W$59,4,FALSE),"")</f>
        <v>ALADIN André</v>
      </c>
      <c r="E7" s="109">
        <f>IF($A6&lt;&gt;0,VLOOKUP($A6,Liste!$A$10:$W$59,8,FALSE),"")</f>
        <v>425</v>
      </c>
      <c r="F7" s="184"/>
      <c r="G7" s="182" t="s">
        <v>158</v>
      </c>
      <c r="H7" s="106"/>
      <c r="I7" s="106"/>
      <c r="J7" s="106"/>
      <c r="K7" s="106"/>
      <c r="L7" s="26"/>
      <c r="M7" s="82"/>
    </row>
    <row r="8" spans="1:15" x14ac:dyDescent="0.25">
      <c r="A8" s="114" t="str">
        <f>IF($A6&lt;&gt;0,VLOOKUP($A6,Liste!$A$10:$W$59,5,FALSE),"")</f>
        <v>13 rue de l' espoir</v>
      </c>
      <c r="B8" s="83"/>
      <c r="F8" s="170"/>
      <c r="G8" s="171" t="s">
        <v>163</v>
      </c>
      <c r="H8" s="171"/>
      <c r="I8" s="171"/>
      <c r="J8" s="171"/>
      <c r="K8" s="171"/>
      <c r="L8" s="127"/>
      <c r="M8" s="82"/>
    </row>
    <row r="9" spans="1:15" x14ac:dyDescent="0.25">
      <c r="A9" s="114">
        <f>IF($A6&lt;&gt;0,VLOOKUP($A6,Liste!$A$10:$W$59,6,FALSE),"")</f>
        <v>75016</v>
      </c>
      <c r="B9" s="114" t="str">
        <f>IF($A6&lt;&gt;0,VLOOKUP($A6,Liste!$A$10:$W$59,7,FALSE),"")</f>
        <v xml:space="preserve">Paris </v>
      </c>
      <c r="F9" s="172"/>
      <c r="G9" s="82"/>
      <c r="H9" s="82"/>
      <c r="I9" s="82"/>
      <c r="J9" s="82"/>
      <c r="K9" s="82"/>
      <c r="L9" s="89"/>
      <c r="M9" s="82"/>
    </row>
    <row r="10" spans="1:15" x14ac:dyDescent="0.25">
      <c r="A10" s="115" t="str">
        <f xml:space="preserve"> IF($A6&lt;&gt;0, "Lot " &amp; VLOOKUP($A6,Liste!$A$10:$W$59,9,FALSE),"")</f>
        <v>Lot 1</v>
      </c>
      <c r="B10" s="202" t="str">
        <f>IF($A6&lt;&gt;0,VLOOKUP($A6,Liste!$A$10:$W$59,10,FALSE),"")</f>
        <v>Appart,</v>
      </c>
      <c r="C10" s="110">
        <f>IF($A6&lt;&gt;0,VLOOKUP($A6,Liste!$A$10:$W$59,11,FALSE),"")</f>
        <v>370</v>
      </c>
      <c r="F10" s="172"/>
      <c r="G10" s="82"/>
      <c r="H10" s="82"/>
      <c r="I10" s="82"/>
      <c r="J10" s="82"/>
      <c r="K10" s="82"/>
      <c r="L10" s="89"/>
      <c r="M10" s="82"/>
    </row>
    <row r="11" spans="1:15" ht="13.8" thickBot="1" x14ac:dyDescent="0.3">
      <c r="A11" s="115" t="str">
        <f>IF($A6&lt;&gt;0,"Lot " &amp; VLOOKUP($A6,Liste!$A$10:$W$59,12,FALSE),"")</f>
        <v>Lot 26</v>
      </c>
      <c r="B11" s="202" t="str">
        <f>IF($A6&lt;&gt;0,VLOOKUP($A6,Liste!$A$10:$W$59,13,FALSE),"")</f>
        <v>Cave</v>
      </c>
      <c r="C11" s="110">
        <f>IF($A6&lt;&gt;0,VLOOKUP($A6,Liste!$A$10:$W$59,14,FALSE),"")</f>
        <v>20</v>
      </c>
      <c r="D11" s="111"/>
      <c r="E11" s="116"/>
      <c r="F11" s="173"/>
      <c r="G11" s="122"/>
      <c r="H11" s="122"/>
      <c r="I11" s="122"/>
      <c r="J11" s="122"/>
      <c r="K11" s="122"/>
      <c r="L11" s="128"/>
      <c r="M11" s="82"/>
    </row>
    <row r="12" spans="1:15" x14ac:dyDescent="0.25">
      <c r="A12" s="192" t="str">
        <f>IF($A6&lt;&gt;0,"Lot " &amp; VLOOKUP($A6,Liste!$A$10:$W$59,15,FALSE),"")</f>
        <v>Lot 51</v>
      </c>
      <c r="B12" s="202" t="str">
        <f>IF($A6&lt;&gt;0,VLOOKUP($A6,Liste!$A$10:$W$59,16,FALSE),"")</f>
        <v>Parking</v>
      </c>
      <c r="C12" s="119">
        <f>IF($A6&lt;&gt;0,VLOOKUP($A6,Liste!$A$10:$W$59,17,FALSE),"")</f>
        <v>10</v>
      </c>
      <c r="D12" s="119"/>
      <c r="E12" s="116"/>
      <c r="F12" s="172"/>
      <c r="G12" s="168" t="s">
        <v>159</v>
      </c>
      <c r="H12" s="174" t="s">
        <v>160</v>
      </c>
      <c r="I12" s="84"/>
      <c r="J12" s="84"/>
      <c r="K12" s="84"/>
      <c r="L12" s="89"/>
      <c r="M12" s="82"/>
    </row>
    <row r="13" spans="1:15" x14ac:dyDescent="0.25">
      <c r="A13" s="192" t="str">
        <f>IF($A6&lt;&gt;0,"Lot " &amp; VLOOKUP($A6,Liste!$A$10:$W$59,18,FALSE),"")</f>
        <v xml:space="preserve">Lot </v>
      </c>
      <c r="B13" s="202">
        <f>IF($A6&lt;&gt;0,VLOOKUP($A6,Liste!$A$10:$W$59,19,FALSE),"")</f>
        <v>0</v>
      </c>
      <c r="C13" s="119">
        <f>IF($A6&lt;&gt;0,VLOOKUP($A6,Liste!$A$10:$W$59,19,FALSE),"")</f>
        <v>0</v>
      </c>
      <c r="E13" s="116"/>
      <c r="F13" s="172"/>
      <c r="G13" s="195" t="s">
        <v>161</v>
      </c>
      <c r="H13" s="174" t="s">
        <v>160</v>
      </c>
      <c r="I13" s="167"/>
      <c r="J13" s="167"/>
      <c r="K13" s="167"/>
      <c r="L13" s="176"/>
      <c r="M13" s="82"/>
    </row>
    <row r="14" spans="1:15" ht="18" thickBot="1" x14ac:dyDescent="0.3">
      <c r="A14" s="193" t="str">
        <f>IF($A6&lt;&gt;0,"Lot " &amp; VLOOKUP($A6,Liste!$A$10:$W$59,21,FALSE),"")</f>
        <v>Lot 82</v>
      </c>
      <c r="B14" s="203" t="str">
        <f>IF($A6&lt;&gt;0,VLOOKUP($A6,Liste!$A$10:$W$59,22,FALSE),"")</f>
        <v>Box</v>
      </c>
      <c r="C14" s="123">
        <f>IF($A6&lt;&gt;0,VLOOKUP($A6,Liste!$A$10:$W$59,23,FALSE),"")</f>
        <v>25</v>
      </c>
      <c r="D14" s="122"/>
      <c r="E14" s="122"/>
      <c r="F14" s="213"/>
      <c r="G14" s="226" t="str">
        <f>IF(OR(B7=0,VLOOKUP(A6,Liste!$A$10:'Liste'!$Z$59,26)&lt;&gt;""),"", "Voir autorisation messages électroniques")</f>
        <v/>
      </c>
      <c r="H14" s="226"/>
      <c r="I14" s="226"/>
      <c r="J14" s="122"/>
      <c r="K14" s="122"/>
      <c r="L14" s="128"/>
      <c r="M14" s="82"/>
    </row>
    <row r="15" spans="1:15" ht="15.75" customHeight="1" x14ac:dyDescent="0.25">
      <c r="A15" s="120">
        <f>A6+1</f>
        <v>2</v>
      </c>
      <c r="B15" s="204"/>
      <c r="C15" s="82"/>
      <c r="D15" s="82"/>
      <c r="E15" s="82"/>
      <c r="F15" s="183"/>
      <c r="G15" s="181" t="s">
        <v>162</v>
      </c>
      <c r="H15" s="166"/>
      <c r="I15" s="166"/>
      <c r="J15" s="166"/>
      <c r="K15" s="166"/>
      <c r="L15" s="175"/>
      <c r="M15" s="82"/>
      <c r="N15" s="82"/>
    </row>
    <row r="16" spans="1:15" ht="18" thickBot="1" x14ac:dyDescent="0.35">
      <c r="A16" s="83" t="str">
        <f>IF($A15&lt;&gt;0,VLOOKUP($A15,Liste!$A$10:$W$59,3,FALSE),"")</f>
        <v>Madame</v>
      </c>
      <c r="B16" s="201" t="str">
        <f>IF($A15&lt;&gt;0,VLOOKUP($A15,Liste!$A$10:$W$59,4,FALSE),"")</f>
        <v>AMONICA Marie</v>
      </c>
      <c r="E16" s="109">
        <f>IF($A15&lt;&gt;0,VLOOKUP($A15,Liste!$A$10:$W$59,8,FALSE),"")</f>
        <v>335</v>
      </c>
      <c r="F16" s="184"/>
      <c r="G16" s="182" t="s">
        <v>158</v>
      </c>
      <c r="H16" s="106"/>
      <c r="I16" s="106"/>
      <c r="J16" s="106"/>
      <c r="K16" s="106"/>
      <c r="L16" s="26"/>
      <c r="M16" s="82"/>
      <c r="N16" s="82"/>
    </row>
    <row r="17" spans="1:13" x14ac:dyDescent="0.25">
      <c r="A17" s="114" t="str">
        <f>IF($A15&lt;&gt;0,VLOOKUP($A15,Liste!$A$10:$W$59,5,FALSE),"")</f>
        <v>14 rue de l' espoir</v>
      </c>
      <c r="B17" s="83"/>
      <c r="F17" s="170"/>
      <c r="G17" s="171" t="s">
        <v>163</v>
      </c>
      <c r="H17" s="171"/>
      <c r="I17" s="171"/>
      <c r="J17" s="171"/>
      <c r="K17" s="171"/>
      <c r="L17" s="127"/>
      <c r="M17" s="82"/>
    </row>
    <row r="18" spans="1:13" x14ac:dyDescent="0.25">
      <c r="A18" s="114">
        <f>IF($A15&lt;&gt;0,VLOOKUP($A15,Liste!$A$10:$W$59,6,FALSE),"")</f>
        <v>75016</v>
      </c>
      <c r="B18" s="114" t="str">
        <f>IF($A15&lt;&gt;0,VLOOKUP($A15,Liste!$A$10:$W$59,7,FALSE),"")</f>
        <v xml:space="preserve">Paris </v>
      </c>
      <c r="F18" s="172"/>
      <c r="G18" s="82"/>
      <c r="H18" s="82"/>
      <c r="I18" s="82"/>
      <c r="J18" s="82"/>
      <c r="K18" s="82"/>
      <c r="L18" s="89"/>
      <c r="M18" s="82"/>
    </row>
    <row r="19" spans="1:13" x14ac:dyDescent="0.25">
      <c r="A19" s="115" t="str">
        <f xml:space="preserve"> IF($A15&lt;&gt;0, "Lot " &amp; VLOOKUP($A15,Liste!$A$10:$W$59,9,FALSE),"")</f>
        <v>Lot 2</v>
      </c>
      <c r="B19" s="202" t="str">
        <f>IF($A15&lt;&gt;0,VLOOKUP($A15,Liste!$A$10:$W$59,10,FALSE),"")</f>
        <v>Appart,</v>
      </c>
      <c r="C19" s="110">
        <f>IF($A15&lt;&gt;0,VLOOKUP($A15,Liste!$A$10:$W$59,11,FALSE),"")</f>
        <v>275</v>
      </c>
      <c r="F19" s="172"/>
      <c r="G19" s="82"/>
      <c r="H19" s="82"/>
      <c r="I19" s="82"/>
      <c r="J19" s="82"/>
      <c r="K19" s="82"/>
      <c r="L19" s="89"/>
      <c r="M19" s="82"/>
    </row>
    <row r="20" spans="1:13" ht="13.8" thickBot="1" x14ac:dyDescent="0.3">
      <c r="A20" s="115" t="str">
        <f>IF($A15&lt;&gt;0,"Lot " &amp; VLOOKUP($A15,Liste!$A$10:$W$59,12,FALSE),"")</f>
        <v>Lot 27</v>
      </c>
      <c r="B20" s="202" t="str">
        <f>IF($A15&lt;&gt;0,VLOOKUP($A15,Liste!$A$10:$W$59,13,FALSE),"")</f>
        <v>Cave</v>
      </c>
      <c r="C20" s="110">
        <f>IF($A15&lt;&gt;0,VLOOKUP($A15,Liste!$A$10:$W$59,14,FALSE),"")</f>
        <v>20</v>
      </c>
      <c r="D20" s="111"/>
      <c r="E20" s="116"/>
      <c r="F20" s="173"/>
      <c r="G20" s="122"/>
      <c r="H20" s="122"/>
      <c r="I20" s="122"/>
      <c r="J20" s="122"/>
      <c r="K20" s="122"/>
      <c r="L20" s="128"/>
      <c r="M20" s="82"/>
    </row>
    <row r="21" spans="1:13" x14ac:dyDescent="0.25">
      <c r="A21" s="192" t="str">
        <f>IF($A15&lt;&gt;0,"Lot " &amp; VLOOKUP($A15,Liste!$A$10:$W$59,15,FALSE),"")</f>
        <v>Lot 52</v>
      </c>
      <c r="B21" s="202" t="str">
        <f>IF($A15&lt;&gt;0,VLOOKUP($A15,Liste!$A$10:$W$59,16,FALSE),"")</f>
        <v>Parking</v>
      </c>
      <c r="C21" s="119">
        <f>IF($A15&lt;&gt;0,VLOOKUP($A15,Liste!$A$10:$W$59,17,FALSE),"")</f>
        <v>10</v>
      </c>
      <c r="D21" s="119"/>
      <c r="E21" s="125"/>
      <c r="F21" s="172"/>
      <c r="G21" s="168" t="s">
        <v>159</v>
      </c>
      <c r="H21" s="174" t="s">
        <v>160</v>
      </c>
      <c r="I21" s="84"/>
      <c r="J21" s="84"/>
      <c r="K21" s="84"/>
      <c r="L21" s="108"/>
      <c r="M21" s="82"/>
    </row>
    <row r="22" spans="1:13" x14ac:dyDescent="0.25">
      <c r="A22" s="192" t="str">
        <f>IF($A15&lt;&gt;0,"Lot " &amp; VLOOKUP($A15,Liste!$A$10:$W$59,18,FALSE),"")</f>
        <v>Lot 76</v>
      </c>
      <c r="B22" s="202" t="str">
        <f>IF($A15&lt;&gt;0,VLOOKUP($A15,Liste!$A$10:$W$59,19,FALSE),"")</f>
        <v>Garage</v>
      </c>
      <c r="C22" s="119">
        <f>IF($A15&lt;&gt;0,VLOOKUP($A15,Liste!$A$10:$W$59,20,FALSE),"")</f>
        <v>30</v>
      </c>
      <c r="F22" s="172"/>
      <c r="G22" s="169" t="s">
        <v>161</v>
      </c>
      <c r="H22" s="174" t="s">
        <v>160</v>
      </c>
      <c r="I22" s="167"/>
      <c r="J22" s="167"/>
      <c r="K22" s="167"/>
      <c r="L22" s="176"/>
      <c r="M22" s="82"/>
    </row>
    <row r="23" spans="1:13" ht="18" thickBot="1" x14ac:dyDescent="0.3">
      <c r="A23" s="193" t="str">
        <f>IF($A15&lt;&gt;0,"Lot " &amp; VLOOKUP($A15,Liste!$A$10:$W$59,21,FALSE),"")</f>
        <v xml:space="preserve">Lot </v>
      </c>
      <c r="B23" s="203">
        <f>IF($A15&lt;&gt;0,VLOOKUP($A15,Liste!$A$10:$W$59,22,FALSE),"")</f>
        <v>0</v>
      </c>
      <c r="C23" s="123">
        <f>IF($A15&lt;&gt;0,VLOOKUP($A15,Liste!$A$10:$W$59,23,FALSE),"")</f>
        <v>0</v>
      </c>
      <c r="D23" s="122"/>
      <c r="E23" s="122"/>
      <c r="F23" s="213"/>
      <c r="G23" s="226" t="str">
        <f>IF(OR(B16=0,VLOOKUP(A15,Liste!$A$10:'Liste'!$Z$59,26)&lt;&gt;""),"", "Voir autorisation messages électroniques")</f>
        <v>Voir autorisation messages électroniques</v>
      </c>
      <c r="H23" s="226"/>
      <c r="I23" s="226"/>
      <c r="J23" s="122"/>
      <c r="K23" s="122"/>
      <c r="L23" s="128"/>
      <c r="M23" s="82"/>
    </row>
    <row r="24" spans="1:13" ht="20.25" customHeight="1" x14ac:dyDescent="0.25">
      <c r="A24" s="120">
        <f>A15+1</f>
        <v>3</v>
      </c>
      <c r="B24" s="204"/>
      <c r="C24" s="82"/>
      <c r="D24" s="82"/>
      <c r="E24" s="82"/>
      <c r="F24" s="183"/>
      <c r="G24" s="181" t="s">
        <v>162</v>
      </c>
      <c r="H24" s="166"/>
      <c r="I24" s="166"/>
      <c r="J24" s="166"/>
      <c r="K24" s="166"/>
      <c r="L24" s="175"/>
      <c r="M24" s="82"/>
    </row>
    <row r="25" spans="1:13" ht="18" thickBot="1" x14ac:dyDescent="0.35">
      <c r="A25" s="83" t="str">
        <f>IF($A24&lt;&gt;0,VLOOKUP($A24,Liste!$A$10:$W$59,3,FALSE),"")</f>
        <v>Mr  et Mme</v>
      </c>
      <c r="B25" s="201" t="str">
        <f>IF($A24&lt;&gt;0,VLOOKUP($A24,Liste!$A$10:$W$59,4,FALSE),"")</f>
        <v>AMSALAM Marcel</v>
      </c>
      <c r="E25" s="109">
        <f>IF($A24&lt;&gt;0,VLOOKUP($A24,Liste!$A$10:$W$59,8,FALSE),"")</f>
        <v>415</v>
      </c>
      <c r="F25" s="184"/>
      <c r="G25" s="182" t="s">
        <v>158</v>
      </c>
      <c r="H25" s="106"/>
      <c r="I25" s="106"/>
      <c r="J25" s="106"/>
      <c r="K25" s="106"/>
      <c r="L25" s="26"/>
      <c r="M25" s="82"/>
    </row>
    <row r="26" spans="1:13" x14ac:dyDescent="0.25">
      <c r="A26" s="114" t="str">
        <f>IF($A24&lt;&gt;0,VLOOKUP($A24,Liste!$A$10:$W$59,5,FALSE),"")</f>
        <v>15 rue de l' espoir</v>
      </c>
      <c r="B26" s="83"/>
      <c r="F26" s="170"/>
      <c r="G26" s="171" t="s">
        <v>163</v>
      </c>
      <c r="H26" s="171"/>
      <c r="I26" s="171"/>
      <c r="J26" s="171"/>
      <c r="K26" s="171"/>
      <c r="L26" s="127"/>
      <c r="M26" s="82"/>
    </row>
    <row r="27" spans="1:13" x14ac:dyDescent="0.25">
      <c r="A27" s="114">
        <f>IF($A24&lt;&gt;0,VLOOKUP($A24,Liste!$A$10:$W$59,6,FALSE),"")</f>
        <v>75016</v>
      </c>
      <c r="B27" s="114" t="str">
        <f>IF($A24&lt;&gt;0,VLOOKUP($A24,Liste!$A$10:$W$59,7,FALSE),"")</f>
        <v xml:space="preserve">Paris </v>
      </c>
      <c r="F27" s="172"/>
      <c r="G27" s="82"/>
      <c r="H27" s="82"/>
      <c r="I27" s="82"/>
      <c r="J27" s="82"/>
      <c r="K27" s="82"/>
      <c r="L27" s="89"/>
      <c r="M27" s="82"/>
    </row>
    <row r="28" spans="1:13" x14ac:dyDescent="0.25">
      <c r="A28" s="115" t="str">
        <f xml:space="preserve"> IF($A24&lt;&gt;0, "Lot " &amp; VLOOKUP($A24,Liste!$A$10:$W$59,9,FALSE),"")</f>
        <v>Lot 3</v>
      </c>
      <c r="B28" s="202" t="str">
        <f>IF($A24&lt;&gt;0,VLOOKUP($A24,Liste!$A$10:$W$59,10,FALSE),"")</f>
        <v>Appart,</v>
      </c>
      <c r="C28" s="110">
        <f>IF($A24&lt;&gt;0,VLOOKUP($A24,Liste!$A$10:$W$59,11,FALSE),"")</f>
        <v>385</v>
      </c>
      <c r="F28" s="172"/>
      <c r="G28" s="82"/>
      <c r="H28" s="82"/>
      <c r="I28" s="82"/>
      <c r="J28" s="82"/>
      <c r="K28" s="82"/>
      <c r="L28" s="89"/>
      <c r="M28" s="82"/>
    </row>
    <row r="29" spans="1:13" ht="13.8" thickBot="1" x14ac:dyDescent="0.3">
      <c r="A29" s="115" t="str">
        <f>IF($A24&lt;&gt;0,"Lot " &amp; VLOOKUP($A24,Liste!$A$10:$W$59,12,FALSE),"")</f>
        <v>Lot 28</v>
      </c>
      <c r="B29" s="202" t="str">
        <f>IF($A24&lt;&gt;0,VLOOKUP($A24,Liste!$A$10:$W$59,13,FALSE),"")</f>
        <v>Cave</v>
      </c>
      <c r="C29" s="110">
        <f>IF($A24&lt;&gt;0,VLOOKUP($A24,Liste!$A$10:$W$59,14,FALSE),"")</f>
        <v>20</v>
      </c>
      <c r="D29" s="111"/>
      <c r="E29" s="116"/>
      <c r="F29" s="173"/>
      <c r="G29" s="122"/>
      <c r="H29" s="122"/>
      <c r="I29" s="122"/>
      <c r="J29" s="122"/>
      <c r="K29" s="122"/>
      <c r="L29" s="128"/>
      <c r="M29" s="82"/>
    </row>
    <row r="30" spans="1:13" x14ac:dyDescent="0.25">
      <c r="A30" s="192" t="str">
        <f>IF($A24&lt;&gt;0,"Lot " &amp; VLOOKUP($A24,Liste!$A$10:$W$59,15,FALSE),"")</f>
        <v>Lot 53</v>
      </c>
      <c r="B30" s="202" t="str">
        <f>IF($A24&lt;&gt;0,VLOOKUP($A24,Liste!$A$10:$W$59,16,FALSE),"")</f>
        <v>Parking</v>
      </c>
      <c r="C30" s="119">
        <f>IF($A24&lt;&gt;0,VLOOKUP($A24,Liste!$A$10:$W$59,17,FALSE),"")</f>
        <v>10</v>
      </c>
      <c r="D30" s="119"/>
      <c r="E30" s="125"/>
      <c r="F30" s="172"/>
      <c r="G30" s="168" t="s">
        <v>159</v>
      </c>
      <c r="H30" s="174" t="s">
        <v>160</v>
      </c>
      <c r="I30" s="84"/>
      <c r="J30" s="84"/>
      <c r="K30" s="84"/>
      <c r="L30" s="108"/>
      <c r="M30" s="82"/>
    </row>
    <row r="31" spans="1:13" x14ac:dyDescent="0.25">
      <c r="A31" s="192" t="str">
        <f>IF($A24&lt;&gt;0,"Lot " &amp; VLOOKUP($A24,Liste!$A$10:$W$59,18,FALSE),"")</f>
        <v xml:space="preserve">Lot </v>
      </c>
      <c r="B31" s="202">
        <f>IF($A24&lt;&gt;0,VLOOKUP($A24,Liste!$A$10:$W$59,19,FALSE),"")</f>
        <v>0</v>
      </c>
      <c r="C31" s="119">
        <f>IF($A24&lt;&gt;0,VLOOKUP($A24,Liste!$A$10:$W$59,20,FALSE),"")</f>
        <v>0</v>
      </c>
      <c r="F31" s="172"/>
      <c r="G31" s="169" t="s">
        <v>161</v>
      </c>
      <c r="H31" s="174" t="s">
        <v>160</v>
      </c>
      <c r="I31" s="167"/>
      <c r="J31" s="167"/>
      <c r="K31" s="167"/>
      <c r="L31" s="176"/>
      <c r="M31" s="82"/>
    </row>
    <row r="32" spans="1:13" ht="13.8" thickBot="1" x14ac:dyDescent="0.3">
      <c r="A32" s="193" t="str">
        <f>IF($A24&lt;&gt;0,"Lot " &amp; VLOOKUP($A24,Liste!$A$10:$W$59,21,FALSE),"")</f>
        <v xml:space="preserve">Lot </v>
      </c>
      <c r="B32" s="203">
        <f>IF($A24&lt;&gt;0,VLOOKUP($A24,Liste!$A$10:$W$59,22,FALSE),"")</f>
        <v>0</v>
      </c>
      <c r="C32" s="123">
        <f>IF($A24&lt;&gt;0,VLOOKUP($A24,Liste!$A$10:$W$59,23,FALSE),"")</f>
        <v>0</v>
      </c>
      <c r="D32" s="122"/>
      <c r="E32" s="122"/>
      <c r="F32" s="196"/>
      <c r="G32" s="226" t="str">
        <f>IF(VLOOKUP(A24,Liste!$A$10:'Liste'!$Z$59,26)&lt;&gt;"","", "Voir autorisation messages électroniques")</f>
        <v/>
      </c>
      <c r="H32" s="226"/>
      <c r="I32" s="226"/>
      <c r="J32" s="122"/>
      <c r="K32" s="122"/>
      <c r="L32" s="128"/>
      <c r="M32" s="82"/>
    </row>
    <row r="33" spans="1:13" ht="18.75" customHeight="1" x14ac:dyDescent="0.25">
      <c r="A33" s="120">
        <f>A24+1</f>
        <v>4</v>
      </c>
      <c r="B33" s="204"/>
      <c r="C33" s="82"/>
      <c r="D33" s="82"/>
      <c r="E33" s="82"/>
      <c r="F33" s="183"/>
      <c r="G33" s="181" t="s">
        <v>162</v>
      </c>
      <c r="H33" s="166"/>
      <c r="I33" s="166"/>
      <c r="J33" s="166"/>
      <c r="K33" s="166"/>
      <c r="L33" s="175"/>
      <c r="M33" s="82"/>
    </row>
    <row r="34" spans="1:13" ht="18" thickBot="1" x14ac:dyDescent="0.35">
      <c r="A34" s="83" t="str">
        <f>IF($A33&lt;&gt;0,VLOOKUP($A33,Liste!$A$10:$W$59,3,FALSE),"")</f>
        <v>Monsieur</v>
      </c>
      <c r="B34" s="201" t="str">
        <f>IF($A33&lt;&gt;0,VLOOKUP($A33,Liste!$A$10:$W$59,4,FALSE),"")</f>
        <v>ANIEBERT Paul</v>
      </c>
      <c r="E34" s="109">
        <f>IF($A33&lt;&gt;0,VLOOKUP($A33,Liste!$A$10:$W$59,8,FALSE),"")</f>
        <v>320</v>
      </c>
      <c r="F34" s="184"/>
      <c r="G34" s="182" t="s">
        <v>158</v>
      </c>
      <c r="H34" s="106"/>
      <c r="I34" s="106"/>
      <c r="J34" s="106"/>
      <c r="K34" s="106"/>
      <c r="L34" s="26"/>
      <c r="M34" s="82"/>
    </row>
    <row r="35" spans="1:13" x14ac:dyDescent="0.25">
      <c r="A35" s="114" t="str">
        <f>IF($A33&lt;&gt;0,VLOOKUP($A33,Liste!$A$10:$W$59,5,FALSE),"")</f>
        <v>16 rue de l' espoir</v>
      </c>
      <c r="B35" s="83"/>
      <c r="F35" s="170"/>
      <c r="G35" s="171" t="s">
        <v>163</v>
      </c>
      <c r="H35" s="171"/>
      <c r="I35" s="171"/>
      <c r="J35" s="171"/>
      <c r="K35" s="171"/>
      <c r="L35" s="127"/>
      <c r="M35" s="82"/>
    </row>
    <row r="36" spans="1:13" x14ac:dyDescent="0.25">
      <c r="A36" s="114">
        <f>IF($A33&lt;&gt;0,VLOOKUP($A33,Liste!$A$10:$W$59,6,FALSE),"")</f>
        <v>75016</v>
      </c>
      <c r="B36" s="114" t="str">
        <f>IF($A33&lt;&gt;0,VLOOKUP($A33,Liste!$A$10:$W$59,7,FALSE),"")</f>
        <v xml:space="preserve">Paris </v>
      </c>
      <c r="F36" s="172"/>
      <c r="G36" s="82"/>
      <c r="H36" s="82"/>
      <c r="I36" s="82"/>
      <c r="J36" s="82"/>
      <c r="K36" s="82"/>
      <c r="L36" s="89"/>
      <c r="M36" s="82"/>
    </row>
    <row r="37" spans="1:13" x14ac:dyDescent="0.25">
      <c r="A37" s="115" t="str">
        <f xml:space="preserve"> IF($A33&lt;&gt;0, "Lot " &amp; VLOOKUP($A33,Liste!$A$10:$W$59,9,FALSE),"")</f>
        <v>Lot 4</v>
      </c>
      <c r="B37" s="202" t="str">
        <f>IF($A33&lt;&gt;0,VLOOKUP($A33,Liste!$A$10:$W$59,10,FALSE),"")</f>
        <v>Appart,</v>
      </c>
      <c r="C37" s="110">
        <f>IF($A33&lt;&gt;0,VLOOKUP($A33,Liste!$A$10:$W$59,11,FALSE),"")</f>
        <v>260</v>
      </c>
      <c r="F37" s="172"/>
      <c r="G37" s="82"/>
      <c r="H37" s="82"/>
      <c r="I37" s="82"/>
      <c r="J37" s="82"/>
      <c r="K37" s="82"/>
      <c r="L37" s="89"/>
      <c r="M37" s="82"/>
    </row>
    <row r="38" spans="1:13" ht="13.8" thickBot="1" x14ac:dyDescent="0.3">
      <c r="A38" s="115" t="str">
        <f>IF($A33&lt;&gt;0,"Lot " &amp; VLOOKUP($A33,Liste!$A$10:$W$59,12,FALSE),"")</f>
        <v>Lot 29</v>
      </c>
      <c r="B38" s="202" t="str">
        <f>IF($A33&lt;&gt;0,VLOOKUP($A33,Liste!$A$10:$W$59,13,FALSE),"")</f>
        <v>Cave</v>
      </c>
      <c r="C38" s="110">
        <f>IF($A33&lt;&gt;0,VLOOKUP($A33,Liste!$A$10:$W$59,14,FALSE),"")</f>
        <v>20</v>
      </c>
      <c r="D38" s="111"/>
      <c r="E38" s="116"/>
      <c r="F38" s="173"/>
      <c r="G38" s="122"/>
      <c r="H38" s="122"/>
      <c r="I38" s="122"/>
      <c r="J38" s="122"/>
      <c r="K38" s="122"/>
      <c r="L38" s="128"/>
      <c r="M38" s="82"/>
    </row>
    <row r="39" spans="1:13" x14ac:dyDescent="0.25">
      <c r="A39" s="192" t="str">
        <f>IF($A33&lt;&gt;0,"Lot " &amp; VLOOKUP($A33,Liste!$A$10:$W$59,15,FALSE),"")</f>
        <v>Lot 54</v>
      </c>
      <c r="B39" s="202" t="str">
        <f>IF($A33&lt;&gt;0,VLOOKUP($A33,Liste!$A$10:$W$59,16,FALSE),"")</f>
        <v>Parking</v>
      </c>
      <c r="C39" s="119">
        <f>IF($A33&lt;&gt;0,VLOOKUP($A33,Liste!$A$10:$W$59,17,FALSE),"")</f>
        <v>10</v>
      </c>
      <c r="D39" s="119"/>
      <c r="E39" s="125"/>
      <c r="F39" s="172"/>
      <c r="G39" s="168" t="s">
        <v>159</v>
      </c>
      <c r="H39" s="174" t="s">
        <v>160</v>
      </c>
      <c r="I39" s="84"/>
      <c r="J39" s="84"/>
      <c r="K39" s="84"/>
      <c r="L39" s="108"/>
      <c r="M39" s="82"/>
    </row>
    <row r="40" spans="1:13" x14ac:dyDescent="0.25">
      <c r="A40" s="192" t="str">
        <f>IF($A33&lt;&gt;0,"Lot " &amp; VLOOKUP($A33,Liste!$A$10:$W$59,18,FALSE),"")</f>
        <v>Lot 77</v>
      </c>
      <c r="B40" s="202" t="str">
        <f>IF($A33&lt;&gt;0,VLOOKUP($A33,Liste!$A$10:$W$59,19,FALSE),"")</f>
        <v>Garage</v>
      </c>
      <c r="C40" s="119">
        <f>IF($A33&lt;&gt;0,VLOOKUP($A33,Liste!$A$10:$W$59,20,FALSE),"")</f>
        <v>30</v>
      </c>
      <c r="F40" s="172"/>
      <c r="G40" s="169" t="s">
        <v>161</v>
      </c>
      <c r="H40" s="174" t="s">
        <v>160</v>
      </c>
      <c r="I40" s="167"/>
      <c r="J40" s="167"/>
      <c r="K40" s="167"/>
      <c r="L40" s="176"/>
      <c r="M40" s="82"/>
    </row>
    <row r="41" spans="1:13" ht="18" thickBot="1" x14ac:dyDescent="0.3">
      <c r="A41" s="193" t="str">
        <f>IF($A33&lt;&gt;0,"Lot " &amp; VLOOKUP($A33,Liste!$A$10:$W$59,21,FALSE),"")</f>
        <v xml:space="preserve">Lot </v>
      </c>
      <c r="B41" s="203">
        <f>IF($A33&lt;&gt;0,VLOOKUP($A33,Liste!$A$10:$W$59,22,FALSE),"")</f>
        <v>0</v>
      </c>
      <c r="C41" s="123">
        <f>IF($A33&lt;&gt;0,VLOOKUP($A33,Liste!$A$10:$W$59,23,FALSE),"")</f>
        <v>0</v>
      </c>
      <c r="D41" s="122"/>
      <c r="E41" s="122"/>
      <c r="F41" s="213"/>
      <c r="G41" s="226" t="str">
        <f>IF(OR(B34=0,VLOOKUP(A33,Liste!$A$10:'Liste'!$Z$59,26)&lt;&gt;""),"", "Voir autorisation messages électroniques")</f>
        <v>Voir autorisation messages électroniques</v>
      </c>
      <c r="H41" s="226"/>
      <c r="I41" s="226"/>
      <c r="J41" s="122"/>
      <c r="K41" s="122"/>
      <c r="L41" s="128"/>
      <c r="M41" s="82"/>
    </row>
    <row r="42" spans="1:13" ht="18" customHeight="1" x14ac:dyDescent="0.25">
      <c r="A42" s="120">
        <f>A33+1</f>
        <v>5</v>
      </c>
      <c r="B42" s="204"/>
      <c r="C42" s="82"/>
      <c r="D42" s="82"/>
      <c r="E42" s="82"/>
      <c r="F42" s="183"/>
      <c r="G42" s="181" t="s">
        <v>162</v>
      </c>
      <c r="H42" s="166"/>
      <c r="I42" s="166"/>
      <c r="J42" s="166"/>
      <c r="K42" s="166"/>
      <c r="L42" s="175"/>
      <c r="M42" s="82"/>
    </row>
    <row r="43" spans="1:13" ht="18" thickBot="1" x14ac:dyDescent="0.35">
      <c r="A43" s="83" t="str">
        <f>IF($A42&lt;&gt;0,VLOOKUP($A42,Liste!$A$10:$W$59,3,FALSE),"")</f>
        <v>Mr  et Mme</v>
      </c>
      <c r="B43" s="201" t="str">
        <f>IF($A42&lt;&gt;0,VLOOKUP($A42,Liste!$A$10:$W$59,4,FALSE),"")</f>
        <v>ASSALADIN Julie</v>
      </c>
      <c r="E43" s="109">
        <f>IF($A42&lt;&gt;0,VLOOKUP($A42,Liste!$A$10:$W$59,8,FALSE),"")</f>
        <v>665</v>
      </c>
      <c r="F43" s="184"/>
      <c r="G43" s="182" t="s">
        <v>158</v>
      </c>
      <c r="H43" s="106"/>
      <c r="I43" s="106"/>
      <c r="J43" s="106"/>
      <c r="K43" s="106"/>
      <c r="L43" s="26"/>
      <c r="M43" s="82"/>
    </row>
    <row r="44" spans="1:13" x14ac:dyDescent="0.25">
      <c r="A44" s="114" t="str">
        <f>IF($A42&lt;&gt;0,VLOOKUP($A42,Liste!$A$10:$W$59,5,FALSE),"")</f>
        <v>17 rue de l' espoir</v>
      </c>
      <c r="B44" s="83"/>
      <c r="F44" s="170"/>
      <c r="G44" s="171" t="s">
        <v>163</v>
      </c>
      <c r="H44" s="171"/>
      <c r="I44" s="171"/>
      <c r="J44" s="171"/>
      <c r="K44" s="171"/>
      <c r="L44" s="127"/>
      <c r="M44" s="82"/>
    </row>
    <row r="45" spans="1:13" x14ac:dyDescent="0.25">
      <c r="A45" s="114">
        <f>IF($A42&lt;&gt;0,VLOOKUP($A42,Liste!$A$10:$W$59,6,FALSE),"")</f>
        <v>75016</v>
      </c>
      <c r="B45" s="114" t="str">
        <f>IF($A42&lt;&gt;0,VLOOKUP($A42,Liste!$A$10:$W$59,7,FALSE),"")</f>
        <v xml:space="preserve">Paris </v>
      </c>
      <c r="F45" s="172"/>
      <c r="G45" s="82"/>
      <c r="H45" s="82"/>
      <c r="I45" s="82"/>
      <c r="J45" s="82"/>
      <c r="K45" s="82"/>
      <c r="L45" s="89"/>
      <c r="M45" s="82"/>
    </row>
    <row r="46" spans="1:13" x14ac:dyDescent="0.25">
      <c r="A46" s="115" t="str">
        <f xml:space="preserve"> IF($A42&lt;&gt;0, "Lot " &amp; VLOOKUP($A42,Liste!$A$10:$W$59,9,FALSE),"")</f>
        <v>Lot 5</v>
      </c>
      <c r="B46" s="202" t="str">
        <f>IF($A42&lt;&gt;0,VLOOKUP($A42,Liste!$A$10:$W$59,10,FALSE),"")</f>
        <v>Appart,</v>
      </c>
      <c r="C46" s="110">
        <f>IF($A42&lt;&gt;0,VLOOKUP($A42,Liste!$A$10:$W$59,11,FALSE),"")</f>
        <v>635</v>
      </c>
      <c r="F46" s="172"/>
      <c r="G46" s="82"/>
      <c r="H46" s="82"/>
      <c r="I46" s="82"/>
      <c r="J46" s="82"/>
      <c r="K46" s="82"/>
      <c r="L46" s="89"/>
      <c r="M46" s="82"/>
    </row>
    <row r="47" spans="1:13" ht="13.8" thickBot="1" x14ac:dyDescent="0.3">
      <c r="A47" s="115" t="str">
        <f>IF($A42&lt;&gt;0,"Lot " &amp; VLOOKUP($A42,Liste!$A$10:$W$59,12,FALSE),"")</f>
        <v>Lot 30</v>
      </c>
      <c r="B47" s="202" t="str">
        <f>IF($A42&lt;&gt;0,VLOOKUP($A42,Liste!$A$10:$W$59,13,FALSE),"")</f>
        <v>Cave</v>
      </c>
      <c r="C47" s="110">
        <f>IF($A42&lt;&gt;0,VLOOKUP($A42,Liste!$A$10:$W$59,14,FALSE),"")</f>
        <v>20</v>
      </c>
      <c r="D47" s="111"/>
      <c r="E47" s="116"/>
      <c r="F47" s="173"/>
      <c r="G47" s="122"/>
      <c r="H47" s="122"/>
      <c r="I47" s="122"/>
      <c r="J47" s="122"/>
      <c r="K47" s="122"/>
      <c r="L47" s="128"/>
      <c r="M47" s="82"/>
    </row>
    <row r="48" spans="1:13" x14ac:dyDescent="0.25">
      <c r="A48" s="192" t="str">
        <f>IF($A42&lt;&gt;0,"Lot " &amp; VLOOKUP($A42,Liste!$A$10:$W$59,15,FALSE),"")</f>
        <v>Lot 55</v>
      </c>
      <c r="B48" s="202" t="str">
        <f>IF($A42&lt;&gt;0,VLOOKUP($A42,Liste!$A$10:$W$59,16,FALSE),"")</f>
        <v>Parking</v>
      </c>
      <c r="C48" s="119">
        <f>IF($A42&lt;&gt;0,VLOOKUP($A42,Liste!$A$10:$W$59,17,FALSE),"")</f>
        <v>10</v>
      </c>
      <c r="D48" s="119"/>
      <c r="E48" s="125"/>
      <c r="F48" s="172"/>
      <c r="G48" s="168" t="s">
        <v>159</v>
      </c>
      <c r="H48" s="174" t="s">
        <v>160</v>
      </c>
      <c r="I48" s="84"/>
      <c r="J48" s="84"/>
      <c r="K48" s="84"/>
      <c r="L48" s="108"/>
      <c r="M48" s="82"/>
    </row>
    <row r="49" spans="1:13" x14ac:dyDescent="0.25">
      <c r="A49" s="192" t="str">
        <f>IF($A42&lt;&gt;0,"Lot " &amp; VLOOKUP($A42,Liste!$A$10:$W$59,18,FALSE),"")</f>
        <v xml:space="preserve">Lot </v>
      </c>
      <c r="B49" s="202">
        <f>IF($A42&lt;&gt;0,VLOOKUP($A42,Liste!$A$10:$W$59,19,FALSE),"")</f>
        <v>0</v>
      </c>
      <c r="C49" s="119">
        <f>IF($A42&lt;&gt;0,VLOOKUP($A42,Liste!$A$10:$W$59,20,FALSE),"")</f>
        <v>0</v>
      </c>
      <c r="F49" s="172"/>
      <c r="G49" s="169" t="s">
        <v>161</v>
      </c>
      <c r="H49" s="174" t="s">
        <v>160</v>
      </c>
      <c r="I49" s="167"/>
      <c r="J49" s="167"/>
      <c r="K49" s="167"/>
      <c r="L49" s="176"/>
      <c r="M49" s="82"/>
    </row>
    <row r="50" spans="1:13" ht="18" thickBot="1" x14ac:dyDescent="0.3">
      <c r="A50" s="193" t="str">
        <f>IF($A42&lt;&gt;0,"Lot " &amp; VLOOKUP($A42,Liste!$A$10:$W$59,21,FALSE),"")</f>
        <v xml:space="preserve">Lot </v>
      </c>
      <c r="B50" s="203">
        <f>IF($A42&lt;&gt;0,VLOOKUP($A42,Liste!$A$10:$W$59,22,FALSE),"")</f>
        <v>0</v>
      </c>
      <c r="C50" s="123">
        <f>IF($A42&lt;&gt;0,VLOOKUP($A42,Liste!$A$10:$W$59,23,FALSE),"")</f>
        <v>0</v>
      </c>
      <c r="D50" s="122"/>
      <c r="E50" s="122"/>
      <c r="F50" s="213"/>
      <c r="G50" s="226" t="str">
        <f>IF(OR(B43=0,VLOOKUP(A42,Liste!$A$10:'Liste'!$Z$59,26)&lt;&gt;""),"", "Voir autorisation messages électroniques")</f>
        <v>Voir autorisation messages électroniques</v>
      </c>
      <c r="H50" s="226"/>
      <c r="I50" s="226"/>
      <c r="J50" s="122"/>
      <c r="K50" s="122"/>
      <c r="L50" s="128"/>
      <c r="M50" s="82"/>
    </row>
    <row r="51" spans="1:13" x14ac:dyDescent="0.25">
      <c r="A51" s="120">
        <f>A42+1</f>
        <v>6</v>
      </c>
      <c r="B51" s="204"/>
      <c r="C51" s="82"/>
      <c r="D51" s="82"/>
      <c r="E51" s="82"/>
      <c r="F51" s="183"/>
      <c r="G51" s="181" t="s">
        <v>162</v>
      </c>
      <c r="H51" s="166"/>
      <c r="I51" s="166"/>
      <c r="J51" s="166"/>
      <c r="K51" s="166"/>
      <c r="L51" s="175"/>
      <c r="M51" s="82"/>
    </row>
    <row r="52" spans="1:13" ht="18" thickBot="1" x14ac:dyDescent="0.35">
      <c r="A52" s="83" t="str">
        <f>IF($A51&lt;&gt;0,VLOOKUP($A51,Liste!$A$10:$W$59,3,FALSE),"")</f>
        <v>Mr  et Mme</v>
      </c>
      <c r="B52" s="201" t="str">
        <f>IF($A51&lt;&gt;0,VLOOKUP($A51,Liste!$A$10:$W$59,4,FALSE),"")</f>
        <v>AUBEPINE André</v>
      </c>
      <c r="E52" s="109">
        <f>IF($A51&lt;&gt;0,VLOOKUP($A51,Liste!$A$10:$W$59,8,FALSE),"")</f>
        <v>365</v>
      </c>
      <c r="F52" s="184"/>
      <c r="G52" s="182" t="s">
        <v>158</v>
      </c>
      <c r="H52" s="106"/>
      <c r="I52" s="106"/>
      <c r="J52" s="106"/>
      <c r="K52" s="106"/>
      <c r="L52" s="26"/>
      <c r="M52" s="82"/>
    </row>
    <row r="53" spans="1:13" x14ac:dyDescent="0.25">
      <c r="A53" s="114" t="str">
        <f>IF($A51&lt;&gt;0,VLOOKUP($A51,Liste!$A$10:$W$59,5,FALSE),"")</f>
        <v>13 rue de l' espoir</v>
      </c>
      <c r="B53" s="83"/>
      <c r="F53" s="170"/>
      <c r="G53" s="171" t="s">
        <v>163</v>
      </c>
      <c r="H53" s="171"/>
      <c r="I53" s="171"/>
      <c r="J53" s="171"/>
      <c r="K53" s="171"/>
      <c r="L53" s="127"/>
      <c r="M53" s="82"/>
    </row>
    <row r="54" spans="1:13" x14ac:dyDescent="0.25">
      <c r="A54" s="114">
        <f>IF($A51&lt;&gt;0,VLOOKUP($A51,Liste!$A$10:$W$59,6,FALSE),"")</f>
        <v>75016</v>
      </c>
      <c r="B54" s="114" t="str">
        <f>IF($A51&lt;&gt;0,VLOOKUP($A51,Liste!$A$10:$W$59,7,FALSE),"")</f>
        <v xml:space="preserve">Paris </v>
      </c>
      <c r="F54" s="172"/>
      <c r="G54" s="82"/>
      <c r="H54" s="82"/>
      <c r="I54" s="82"/>
      <c r="J54" s="82"/>
      <c r="K54" s="82"/>
      <c r="L54" s="89"/>
      <c r="M54" s="82"/>
    </row>
    <row r="55" spans="1:13" x14ac:dyDescent="0.25">
      <c r="A55" s="115" t="str">
        <f xml:space="preserve"> IF($A51&lt;&gt;0, "Lot " &amp; VLOOKUP($A51,Liste!$A$10:$W$59,9,FALSE),"")</f>
        <v>Lot 6</v>
      </c>
      <c r="B55" s="202" t="str">
        <f>IF($A51&lt;&gt;0,VLOOKUP($A51,Liste!$A$10:$W$59,10,FALSE),"")</f>
        <v>Appart,</v>
      </c>
      <c r="C55" s="110">
        <f>IF($A51&lt;&gt;0,VLOOKUP($A51,Liste!$A$10:$W$59,11,FALSE),"")</f>
        <v>280</v>
      </c>
      <c r="F55" s="172"/>
      <c r="G55" s="82"/>
      <c r="H55" s="82"/>
      <c r="I55" s="82"/>
      <c r="J55" s="82"/>
      <c r="K55" s="82"/>
      <c r="L55" s="89"/>
      <c r="M55" s="82"/>
    </row>
    <row r="56" spans="1:13" ht="13.8" thickBot="1" x14ac:dyDescent="0.3">
      <c r="A56" s="115" t="str">
        <f>IF($A51&lt;&gt;0,"Lot " &amp; VLOOKUP($A51,Liste!$A$10:$W$59,12,FALSE),"")</f>
        <v>Lot 31</v>
      </c>
      <c r="B56" s="202" t="str">
        <f>IF($A51&lt;&gt;0,VLOOKUP($A51,Liste!$A$10:$W$59,13,FALSE),"")</f>
        <v>Cave</v>
      </c>
      <c r="C56" s="110">
        <f>IF($A51&lt;&gt;0,VLOOKUP($A51,Liste!$A$10:$W$59,14,FALSE),"")</f>
        <v>20</v>
      </c>
      <c r="D56" s="111"/>
      <c r="E56" s="116"/>
      <c r="F56" s="173"/>
      <c r="G56" s="122"/>
      <c r="H56" s="122"/>
      <c r="I56" s="122"/>
      <c r="J56" s="122"/>
      <c r="K56" s="122"/>
      <c r="L56" s="128"/>
      <c r="M56" s="82"/>
    </row>
    <row r="57" spans="1:13" x14ac:dyDescent="0.25">
      <c r="A57" s="192" t="str">
        <f>IF($A51&lt;&gt;0,"Lot " &amp; VLOOKUP($A51,Liste!$A$10:$W$59,15,FALSE),"")</f>
        <v>Lot 56</v>
      </c>
      <c r="B57" s="202" t="str">
        <f>IF($A51&lt;&gt;0,VLOOKUP($A51,Liste!$A$10:$W$59,16,FALSE),"")</f>
        <v>Parking</v>
      </c>
      <c r="C57" s="119">
        <f>IF($A51&lt;&gt;0,VLOOKUP($A51,Liste!$A$10:$W$59,17,FALSE),"")</f>
        <v>10</v>
      </c>
      <c r="D57" s="119"/>
      <c r="E57" s="125"/>
      <c r="F57" s="172"/>
      <c r="G57" s="168" t="s">
        <v>159</v>
      </c>
      <c r="H57" s="174" t="s">
        <v>160</v>
      </c>
      <c r="I57" s="84"/>
      <c r="J57" s="84"/>
      <c r="K57" s="84"/>
      <c r="L57" s="108"/>
      <c r="M57" s="82"/>
    </row>
    <row r="58" spans="1:13" x14ac:dyDescent="0.25">
      <c r="A58" s="192" t="str">
        <f>IF($A51&lt;&gt;0,"Lot " &amp; VLOOKUP($A51,Liste!$A$10:$W$59,18,FALSE),"")</f>
        <v>Lot 78</v>
      </c>
      <c r="B58" s="202" t="str">
        <f>IF($A51&lt;&gt;0,VLOOKUP($A51,Liste!$A$10:$W$59,19,FALSE),"")</f>
        <v>Garage</v>
      </c>
      <c r="C58" s="119">
        <f>IF($A51&lt;&gt;0,VLOOKUP($A51,Liste!$A$10:$W$59,20,FALSE),"")</f>
        <v>30</v>
      </c>
      <c r="F58" s="172"/>
      <c r="G58" s="169" t="s">
        <v>161</v>
      </c>
      <c r="H58" s="174" t="s">
        <v>160</v>
      </c>
      <c r="I58" s="167"/>
      <c r="J58" s="167"/>
      <c r="K58" s="167"/>
      <c r="L58" s="176"/>
      <c r="M58" s="82"/>
    </row>
    <row r="59" spans="1:13" ht="18" thickBot="1" x14ac:dyDescent="0.3">
      <c r="A59" s="193" t="str">
        <f>IF($A51&lt;&gt;0,"Lot " &amp; VLOOKUP($A51,Liste!$A$10:$W$59,21,FALSE),"")</f>
        <v>Lot 83</v>
      </c>
      <c r="B59" s="203" t="str">
        <f>IF($A51&lt;&gt;0,VLOOKUP($A51,Liste!$A$10:$W$59,22,FALSE),"")</f>
        <v>Box</v>
      </c>
      <c r="C59" s="123">
        <f>IF($A51&lt;&gt;0,VLOOKUP($A51,Liste!$A$10:$W$59,23,FALSE),"")</f>
        <v>25</v>
      </c>
      <c r="D59" s="122"/>
      <c r="E59" s="122"/>
      <c r="F59" s="213"/>
      <c r="G59" s="226" t="str">
        <f>IF(OR(B52=0,VLOOKUP(A51,Liste!$A$10:'Liste'!$Z$59,26)&lt;&gt;""),"", "Voir autorisation messages électroniques")</f>
        <v>Voir autorisation messages électroniques</v>
      </c>
      <c r="H59" s="226"/>
      <c r="I59" s="226"/>
      <c r="J59" s="122"/>
      <c r="K59" s="122"/>
      <c r="L59" s="128"/>
      <c r="M59" s="82"/>
    </row>
    <row r="60" spans="1:13" ht="18" customHeight="1" x14ac:dyDescent="0.25">
      <c r="A60" s="120">
        <f>A51+1</f>
        <v>7</v>
      </c>
      <c r="B60" s="204"/>
      <c r="C60" s="82"/>
      <c r="D60" s="82"/>
      <c r="E60" s="82"/>
      <c r="F60" s="183"/>
      <c r="G60" s="181" t="s">
        <v>162</v>
      </c>
      <c r="H60" s="166"/>
      <c r="I60" s="166"/>
      <c r="J60" s="166"/>
      <c r="K60" s="166"/>
      <c r="L60" s="175"/>
      <c r="M60" s="82"/>
    </row>
    <row r="61" spans="1:13" ht="18" thickBot="1" x14ac:dyDescent="0.35">
      <c r="A61" s="83" t="str">
        <f>IF($A60&lt;&gt;0,VLOOKUP($A60,Liste!$A$10:$W$59,3,FALSE),"")</f>
        <v>Mr  et Mme</v>
      </c>
      <c r="B61" s="201" t="str">
        <f>IF($A60&lt;&gt;0,VLOOKUP($A60,Liste!$A$10:$W$59,4,FALSE),"")</f>
        <v>AURIDON Jean-Paul</v>
      </c>
      <c r="E61" s="109">
        <f>IF($A60&lt;&gt;0,VLOOKUP($A60,Liste!$A$10:$W$59,8,FALSE),"")</f>
        <v>280</v>
      </c>
      <c r="F61" s="184"/>
      <c r="G61" s="182" t="s">
        <v>158</v>
      </c>
      <c r="H61" s="106"/>
      <c r="I61" s="106"/>
      <c r="J61" s="106"/>
      <c r="K61" s="106"/>
      <c r="L61" s="26"/>
      <c r="M61" s="82"/>
    </row>
    <row r="62" spans="1:13" x14ac:dyDescent="0.25">
      <c r="A62" s="114" t="str">
        <f>IF($A60&lt;&gt;0,VLOOKUP($A60,Liste!$A$10:$W$59,5,FALSE),"")</f>
        <v>14 rue de l' espoir</v>
      </c>
      <c r="B62" s="83"/>
      <c r="F62" s="170"/>
      <c r="G62" s="171" t="s">
        <v>163</v>
      </c>
      <c r="H62" s="171"/>
      <c r="I62" s="171"/>
      <c r="J62" s="171"/>
      <c r="K62" s="171"/>
      <c r="L62" s="127"/>
      <c r="M62" s="82"/>
    </row>
    <row r="63" spans="1:13" x14ac:dyDescent="0.25">
      <c r="A63" s="114">
        <f>IF($A60&lt;&gt;0,VLOOKUP($A60,Liste!$A$10:$W$59,6,FALSE),"")</f>
        <v>75016</v>
      </c>
      <c r="B63" s="114" t="str">
        <f>IF($A60&lt;&gt;0,VLOOKUP($A60,Liste!$A$10:$W$59,7,FALSE),"")</f>
        <v xml:space="preserve">Paris </v>
      </c>
      <c r="F63" s="172"/>
      <c r="G63" s="82"/>
      <c r="H63" s="82"/>
      <c r="I63" s="82"/>
      <c r="J63" s="82"/>
      <c r="K63" s="82"/>
      <c r="L63" s="89"/>
      <c r="M63" s="82"/>
    </row>
    <row r="64" spans="1:13" x14ac:dyDescent="0.25">
      <c r="A64" s="115" t="str">
        <f xml:space="preserve"> IF($A60&lt;&gt;0, "Lot " &amp; VLOOKUP($A60,Liste!$A$10:$W$59,9,FALSE),"")</f>
        <v>Lot 7</v>
      </c>
      <c r="B64" s="202" t="str">
        <f>IF($A60&lt;&gt;0,VLOOKUP($A60,Liste!$A$10:$W$59,10,FALSE),"")</f>
        <v>Appart,</v>
      </c>
      <c r="C64" s="110">
        <f>IF($A60&lt;&gt;0,VLOOKUP($A60,Liste!$A$10:$W$59,11,FALSE),"")</f>
        <v>250</v>
      </c>
      <c r="F64" s="172"/>
      <c r="G64" s="82"/>
      <c r="H64" s="82"/>
      <c r="I64" s="82"/>
      <c r="J64" s="82"/>
      <c r="K64" s="82"/>
      <c r="L64" s="89"/>
      <c r="M64" s="82"/>
    </row>
    <row r="65" spans="1:13" ht="13.8" thickBot="1" x14ac:dyDescent="0.3">
      <c r="A65" s="115" t="str">
        <f>IF($A60&lt;&gt;0,"Lot " &amp; VLOOKUP($A60,Liste!$A$10:$W$59,12,FALSE),"")</f>
        <v>Lot 32</v>
      </c>
      <c r="B65" s="202" t="str">
        <f>IF($A60&lt;&gt;0,VLOOKUP($A60,Liste!$A$10:$W$59,13,FALSE),"")</f>
        <v>Cave</v>
      </c>
      <c r="C65" s="110">
        <f>IF($A60&lt;&gt;0,VLOOKUP($A60,Liste!$A$10:$W$59,14,FALSE),"")</f>
        <v>20</v>
      </c>
      <c r="D65" s="111"/>
      <c r="E65" s="116"/>
      <c r="F65" s="173"/>
      <c r="G65" s="122"/>
      <c r="H65" s="122"/>
      <c r="I65" s="122"/>
      <c r="J65" s="122"/>
      <c r="K65" s="122"/>
      <c r="L65" s="128"/>
      <c r="M65" s="82"/>
    </row>
    <row r="66" spans="1:13" x14ac:dyDescent="0.25">
      <c r="A66" s="192" t="str">
        <f>IF($A60&lt;&gt;0,"Lot " &amp; VLOOKUP($A60,Liste!$A$10:$W$59,15,FALSE),"")</f>
        <v>Lot 57</v>
      </c>
      <c r="B66" s="202" t="str">
        <f>IF($A60&lt;&gt;0,VLOOKUP($A60,Liste!$A$10:$W$59,16,FALSE),"")</f>
        <v>Parking</v>
      </c>
      <c r="C66" s="119">
        <f>IF($A60&lt;&gt;0,VLOOKUP($A60,Liste!$A$10:$W$59,17,FALSE),"")</f>
        <v>10</v>
      </c>
      <c r="D66" s="119"/>
      <c r="E66" s="125"/>
      <c r="F66" s="172"/>
      <c r="G66" s="168" t="s">
        <v>159</v>
      </c>
      <c r="H66" s="174" t="s">
        <v>160</v>
      </c>
      <c r="I66" s="84"/>
      <c r="J66" s="84"/>
      <c r="K66" s="84"/>
      <c r="L66" s="108"/>
      <c r="M66" s="82"/>
    </row>
    <row r="67" spans="1:13" x14ac:dyDescent="0.25">
      <c r="A67" s="192" t="str">
        <f>IF($A60&lt;&gt;0,"Lot " &amp; VLOOKUP($A60,Liste!$A$10:$W$59,18,FALSE),"")</f>
        <v xml:space="preserve">Lot </v>
      </c>
      <c r="B67" s="202">
        <f>IF($A60&lt;&gt;0,VLOOKUP($A60,Liste!$A$10:$W$59,19,FALSE),"")</f>
        <v>0</v>
      </c>
      <c r="C67" s="119">
        <f>IF($A60&lt;&gt;0,VLOOKUP($A60,Liste!$A$10:$W$59,20,FALSE),"")</f>
        <v>0</v>
      </c>
      <c r="F67" s="172"/>
      <c r="G67" s="169" t="s">
        <v>161</v>
      </c>
      <c r="H67" s="174" t="s">
        <v>160</v>
      </c>
      <c r="I67" s="167"/>
      <c r="J67" s="167"/>
      <c r="K67" s="167"/>
      <c r="L67" s="176"/>
      <c r="M67" s="82"/>
    </row>
    <row r="68" spans="1:13" ht="18" thickBot="1" x14ac:dyDescent="0.3">
      <c r="A68" s="193" t="str">
        <f>IF($A60&lt;&gt;0,"Lot " &amp; VLOOKUP($A60,Liste!$A$10:$W$59,21,FALSE),"")</f>
        <v xml:space="preserve">Lot </v>
      </c>
      <c r="B68" s="203">
        <f>IF($A60&lt;&gt;0,VLOOKUP($A60,Liste!$A$10:$W$59,22,FALSE),"")</f>
        <v>0</v>
      </c>
      <c r="C68" s="123">
        <f>IF($A60&lt;&gt;0,VLOOKUP($A60,Liste!$A$10:$W$59,23,FALSE),"")</f>
        <v>0</v>
      </c>
      <c r="D68" s="122"/>
      <c r="E68" s="122"/>
      <c r="F68" s="213"/>
      <c r="G68" s="226" t="str">
        <f>IF(OR(B61=0,VLOOKUP(A60,Liste!$A$10:'Liste'!$Z$59,26)&lt;&gt;""),"", "Voir autorisation messages électroniques")</f>
        <v>Voir autorisation messages électroniques</v>
      </c>
      <c r="H68" s="226"/>
      <c r="I68" s="226"/>
      <c r="J68" s="122"/>
      <c r="K68" s="122"/>
      <c r="L68" s="128"/>
      <c r="M68" s="82"/>
    </row>
    <row r="69" spans="1:13" ht="21" customHeight="1" x14ac:dyDescent="0.25">
      <c r="A69" s="120">
        <f>A60+1</f>
        <v>8</v>
      </c>
      <c r="B69" s="204"/>
      <c r="C69" s="82"/>
      <c r="D69" s="82"/>
      <c r="E69" s="82"/>
      <c r="F69" s="183"/>
      <c r="G69" s="181" t="s">
        <v>162</v>
      </c>
      <c r="H69" s="166"/>
      <c r="I69" s="166"/>
      <c r="J69" s="166"/>
      <c r="K69" s="166"/>
      <c r="L69" s="175"/>
      <c r="M69" s="82"/>
    </row>
    <row r="70" spans="1:13" ht="18" thickBot="1" x14ac:dyDescent="0.35">
      <c r="A70" s="83" t="str">
        <f>IF($A69&lt;&gt;0,VLOOKUP($A69,Liste!$A$10:$W$59,3,FALSE),"")</f>
        <v>Mr  et Mme</v>
      </c>
      <c r="B70" s="201" t="str">
        <f>IF($A69&lt;&gt;0,VLOOKUP($A69,Liste!$A$10:$W$59,4,FALSE),"")</f>
        <v>BACHELIER Paul</v>
      </c>
      <c r="E70" s="109">
        <f>IF($A69&lt;&gt;0,VLOOKUP($A69,Liste!$A$10:$W$59,8,FALSE),"")</f>
        <v>355</v>
      </c>
      <c r="F70" s="184"/>
      <c r="G70" s="182" t="s">
        <v>158</v>
      </c>
      <c r="H70" s="106"/>
      <c r="I70" s="106"/>
      <c r="J70" s="106"/>
      <c r="K70" s="106"/>
      <c r="L70" s="26"/>
      <c r="M70" s="82"/>
    </row>
    <row r="71" spans="1:13" x14ac:dyDescent="0.25">
      <c r="A71" s="114" t="str">
        <f>IF($A69&lt;&gt;0,VLOOKUP($A69,Liste!$A$10:$W$59,5,FALSE),"")</f>
        <v>15 rue de l' espoir</v>
      </c>
      <c r="B71" s="83"/>
      <c r="F71" s="170"/>
      <c r="G71" s="171" t="s">
        <v>163</v>
      </c>
      <c r="H71" s="171"/>
      <c r="I71" s="171"/>
      <c r="J71" s="171"/>
      <c r="K71" s="171"/>
      <c r="L71" s="127"/>
      <c r="M71" s="82"/>
    </row>
    <row r="72" spans="1:13" x14ac:dyDescent="0.25">
      <c r="A72" s="114">
        <f>IF($A69&lt;&gt;0,VLOOKUP($A69,Liste!$A$10:$W$59,6,FALSE),"")</f>
        <v>75016</v>
      </c>
      <c r="B72" s="114" t="str">
        <f>IF($A69&lt;&gt;0,VLOOKUP($A69,Liste!$A$10:$W$59,7,FALSE),"")</f>
        <v xml:space="preserve">Paris </v>
      </c>
      <c r="F72" s="172"/>
      <c r="G72" s="82"/>
      <c r="H72" s="82"/>
      <c r="I72" s="82"/>
      <c r="J72" s="82"/>
      <c r="K72" s="82"/>
      <c r="L72" s="89"/>
      <c r="M72" s="82"/>
    </row>
    <row r="73" spans="1:13" x14ac:dyDescent="0.25">
      <c r="A73" s="115" t="str">
        <f xml:space="preserve"> IF($A69&lt;&gt;0, "Lot " &amp; VLOOKUP($A69,Liste!$A$10:$W$59,9,FALSE),"")</f>
        <v>Lot 8</v>
      </c>
      <c r="B73" s="202" t="str">
        <f>IF($A69&lt;&gt;0,VLOOKUP($A69,Liste!$A$10:$W$59,10,FALSE),"")</f>
        <v>Appart,</v>
      </c>
      <c r="C73" s="110">
        <f>IF($A69&lt;&gt;0,VLOOKUP($A69,Liste!$A$10:$W$59,11,FALSE),"")</f>
        <v>325</v>
      </c>
      <c r="F73" s="172"/>
      <c r="G73" s="82"/>
      <c r="H73" s="82"/>
      <c r="I73" s="82"/>
      <c r="J73" s="82"/>
      <c r="K73" s="82"/>
      <c r="L73" s="89"/>
      <c r="M73" s="82"/>
    </row>
    <row r="74" spans="1:13" ht="13.8" thickBot="1" x14ac:dyDescent="0.3">
      <c r="A74" s="115" t="str">
        <f>IF($A69&lt;&gt;0,"Lot " &amp; VLOOKUP($A69,Liste!$A$10:$W$59,12,FALSE),"")</f>
        <v>Lot 33</v>
      </c>
      <c r="B74" s="202" t="str">
        <f>IF($A69&lt;&gt;0,VLOOKUP($A69,Liste!$A$10:$W$59,13,FALSE),"")</f>
        <v>Cave</v>
      </c>
      <c r="C74" s="110">
        <f>IF($A69&lt;&gt;0,VLOOKUP($A69,Liste!$A$10:$W$59,14,FALSE),"")</f>
        <v>20</v>
      </c>
      <c r="D74" s="111"/>
      <c r="E74" s="116"/>
      <c r="F74" s="173"/>
      <c r="G74" s="122"/>
      <c r="H74" s="122"/>
      <c r="I74" s="122"/>
      <c r="J74" s="122"/>
      <c r="K74" s="122"/>
      <c r="L74" s="128"/>
      <c r="M74" s="82"/>
    </row>
    <row r="75" spans="1:13" x14ac:dyDescent="0.25">
      <c r="A75" s="192" t="str">
        <f>IF($A69&lt;&gt;0,"Lot " &amp; VLOOKUP($A69,Liste!$A$10:$W$59,15,FALSE),"")</f>
        <v>Lot 58</v>
      </c>
      <c r="B75" s="202" t="str">
        <f>IF($A69&lt;&gt;0,VLOOKUP($A69,Liste!$A$10:$W$59,16,FALSE),"")</f>
        <v>Parking</v>
      </c>
      <c r="C75" s="119">
        <f>IF($A69&lt;&gt;0,VLOOKUP($A69,Liste!$A$10:$W$59,17,FALSE),"")</f>
        <v>10</v>
      </c>
      <c r="D75" s="119"/>
      <c r="E75" s="125"/>
      <c r="F75" s="172"/>
      <c r="G75" s="168" t="s">
        <v>159</v>
      </c>
      <c r="H75" s="174" t="s">
        <v>160</v>
      </c>
      <c r="I75" s="84"/>
      <c r="J75" s="84"/>
      <c r="K75" s="84"/>
      <c r="L75" s="108"/>
      <c r="M75" s="82"/>
    </row>
    <row r="76" spans="1:13" x14ac:dyDescent="0.25">
      <c r="A76" s="192" t="str">
        <f>IF($A69&lt;&gt;0,"Lot " &amp; VLOOKUP($A69,Liste!$A$10:$W$59,18,FALSE),"")</f>
        <v xml:space="preserve">Lot </v>
      </c>
      <c r="B76" s="202">
        <f>IF($A69&lt;&gt;0,VLOOKUP($A69,Liste!$A$10:$W$59,19,FALSE),"")</f>
        <v>0</v>
      </c>
      <c r="C76" s="119">
        <f>IF($A69&lt;&gt;0,VLOOKUP($A69,Liste!$A$10:$W$59,20,FALSE),"")</f>
        <v>0</v>
      </c>
      <c r="F76" s="172"/>
      <c r="G76" s="169" t="s">
        <v>161</v>
      </c>
      <c r="H76" s="174" t="s">
        <v>160</v>
      </c>
      <c r="I76" s="167"/>
      <c r="J76" s="167"/>
      <c r="K76" s="167"/>
      <c r="L76" s="176"/>
      <c r="M76" s="82"/>
    </row>
    <row r="77" spans="1:13" ht="18" thickBot="1" x14ac:dyDescent="0.3">
      <c r="A77" s="205" t="str">
        <f>IF($A69&lt;&gt;0,"Lot " &amp; VLOOKUP($A69,Liste!$A$10:$W$59,21,FALSE),"")</f>
        <v xml:space="preserve">Lot </v>
      </c>
      <c r="B77" s="209">
        <f>IF($A69&lt;&gt;0,VLOOKUP($A69,Liste!$A$10:$W$59,22,FALSE),"")</f>
        <v>0</v>
      </c>
      <c r="C77" s="206">
        <f>IF($A69&lt;&gt;0,VLOOKUP($A69,Liste!$A$10:$W$59,23,FALSE),"")</f>
        <v>0</v>
      </c>
      <c r="D77" s="84"/>
      <c r="E77" s="84"/>
      <c r="F77" s="213"/>
      <c r="G77" s="226" t="str">
        <f>IF(OR(B70=0,VLOOKUP(A69,Liste!$A$10:'Liste'!$Z$59,26)&lt;&gt;""),"", "Voir autorisation messages électroniques")</f>
        <v>Voir autorisation messages électroniques</v>
      </c>
      <c r="H77" s="226"/>
      <c r="I77" s="226"/>
      <c r="J77" s="84"/>
      <c r="K77" s="84"/>
      <c r="L77" s="108"/>
      <c r="M77" s="82"/>
    </row>
    <row r="78" spans="1:13" ht="12" customHeight="1" x14ac:dyDescent="0.25">
      <c r="L78" s="89"/>
    </row>
    <row r="79" spans="1:13" ht="17.399999999999999" x14ac:dyDescent="0.3">
      <c r="D79" s="112" t="s">
        <v>93</v>
      </c>
      <c r="E79" s="112"/>
      <c r="F79" s="112"/>
      <c r="K79" s="133" t="s">
        <v>98</v>
      </c>
      <c r="L79" s="190">
        <f>L2+1</f>
        <v>2</v>
      </c>
    </row>
    <row r="80" spans="1:13" x14ac:dyDescent="0.25">
      <c r="E80" s="133"/>
      <c r="F80" s="117" t="s">
        <v>166</v>
      </c>
      <c r="G80" s="152">
        <f>IF(A83&gt;0,Liste!$C$1,"")</f>
        <v>44084</v>
      </c>
      <c r="L80" s="89"/>
    </row>
    <row r="81" spans="1:13" x14ac:dyDescent="0.25">
      <c r="D81" t="str">
        <f>IF(A83&gt;0,Liste!$C$3&amp;"; "&amp;Liste!$C$4&amp;" "&amp;Liste!$C$5,"""")</f>
        <v>Résidence Le Paradis; Rue de l' espoir 75016 PARIS</v>
      </c>
      <c r="E81" s="152"/>
      <c r="F81" s="152"/>
      <c r="G81" s="152"/>
      <c r="L81" s="89"/>
    </row>
    <row r="82" spans="1:13" ht="13.8" thickBot="1" x14ac:dyDescent="0.3">
      <c r="A82" s="84"/>
      <c r="B82" s="84"/>
      <c r="C82" s="84"/>
      <c r="D82" s="84"/>
      <c r="E82" s="84"/>
      <c r="F82" s="84"/>
      <c r="G82" s="84"/>
      <c r="L82" s="89"/>
    </row>
    <row r="83" spans="1:13" ht="15.75" customHeight="1" x14ac:dyDescent="0.25">
      <c r="A83" s="171">
        <f>A69+1</f>
        <v>9</v>
      </c>
      <c r="B83" s="171"/>
      <c r="C83" s="171"/>
      <c r="D83" s="171"/>
      <c r="E83" s="171"/>
      <c r="F83" s="183"/>
      <c r="G83" s="181" t="s">
        <v>162</v>
      </c>
      <c r="H83" s="166"/>
      <c r="I83" s="166"/>
      <c r="J83" s="166"/>
      <c r="K83" s="166"/>
      <c r="L83" s="175"/>
      <c r="M83" s="83"/>
    </row>
    <row r="84" spans="1:13" ht="18" thickBot="1" x14ac:dyDescent="0.35">
      <c r="A84" s="83" t="str">
        <f>IF($A83&lt;&gt;0,VLOOKUP($A83,Liste!$A$10:$W$59,3,FALSE),"")</f>
        <v>Mr  et Mme</v>
      </c>
      <c r="B84" s="207" t="str">
        <f>IF($A83&lt;&gt;0,VLOOKUP($A83,Liste!$A$10:$W$59,4,FALSE),"")</f>
        <v>DUBOIS/BALARDIN Joseph</v>
      </c>
      <c r="C84" s="82"/>
      <c r="E84" s="109">
        <f>IF($A83&lt;&gt;0,VLOOKUP($A83,Liste!$A$10:$W$59,8,FALSE),"")</f>
        <v>380</v>
      </c>
      <c r="F84" s="184"/>
      <c r="G84" s="182" t="s">
        <v>158</v>
      </c>
      <c r="H84" s="106"/>
      <c r="I84" s="106"/>
      <c r="J84" s="106"/>
      <c r="K84" s="106"/>
      <c r="L84" s="26"/>
      <c r="M84" s="83"/>
    </row>
    <row r="85" spans="1:13" x14ac:dyDescent="0.25">
      <c r="A85" s="114" t="str">
        <f>IF($A83&lt;&gt;0,VLOOKUP($A83,Liste!$A$10:$W$59,5,FALSE),"")</f>
        <v>13rue de l' espoir</v>
      </c>
      <c r="B85" s="83"/>
      <c r="F85" s="170"/>
      <c r="G85" s="171" t="s">
        <v>163</v>
      </c>
      <c r="H85" s="171"/>
      <c r="I85" s="171"/>
      <c r="J85" s="171"/>
      <c r="K85" s="171"/>
      <c r="L85" s="127"/>
      <c r="M85" s="83"/>
    </row>
    <row r="86" spans="1:13" x14ac:dyDescent="0.25">
      <c r="A86" s="114">
        <f>IF($A83&lt;&gt;0,VLOOKUP($A83,Liste!$A$10:$W$59,6,FALSE),"")</f>
        <v>75016</v>
      </c>
      <c r="B86" s="114" t="str">
        <f>IF($A83&lt;&gt;0,VLOOKUP($A83,Liste!$A$10:$W$59,7,FALSE),"")</f>
        <v xml:space="preserve">Paris </v>
      </c>
      <c r="F86" s="172"/>
      <c r="G86" s="82"/>
      <c r="H86" s="82"/>
      <c r="I86" s="82"/>
      <c r="J86" s="82"/>
      <c r="K86" s="82"/>
      <c r="L86" s="89"/>
      <c r="M86" s="83"/>
    </row>
    <row r="87" spans="1:13" x14ac:dyDescent="0.25">
      <c r="A87" s="115" t="str">
        <f xml:space="preserve"> IF($A83&lt;&gt;0, "Lot " &amp; VLOOKUP($A83,Liste!$A$10:$W$59,9,FALSE),"")</f>
        <v>Lot 9</v>
      </c>
      <c r="B87" s="202" t="str">
        <f>IF($A83&lt;&gt;0,VLOOKUP($A83,Liste!$A$10:$W$59,10,FALSE),"")</f>
        <v>Appart,</v>
      </c>
      <c r="C87" s="110">
        <f>IF($A83&lt;&gt;0,VLOOKUP($A83,Liste!$A$10:$W$59,11,FALSE),"")</f>
        <v>325</v>
      </c>
      <c r="F87" s="172"/>
      <c r="G87" s="82"/>
      <c r="H87" s="82"/>
      <c r="I87" s="82"/>
      <c r="J87" s="82"/>
      <c r="K87" s="82"/>
      <c r="L87" s="89"/>
      <c r="M87" s="83"/>
    </row>
    <row r="88" spans="1:13" ht="13.8" thickBot="1" x14ac:dyDescent="0.3">
      <c r="A88" s="115" t="str">
        <f>IF($A83&lt;&gt;0,"Lot " &amp; VLOOKUP($A83,Liste!$A$10:$W$59,12,FALSE),"")</f>
        <v>Lot 34</v>
      </c>
      <c r="B88" s="202" t="str">
        <f>IF($A83&lt;&gt;0,VLOOKUP($A83,Liste!$A$10:$W$59,13,FALSE),"")</f>
        <v>Cave</v>
      </c>
      <c r="C88" s="110">
        <f>IF($A83&lt;&gt;0,VLOOKUP($A83,Liste!$A$10:$W$59,14,FALSE),"")</f>
        <v>20</v>
      </c>
      <c r="D88" s="111"/>
      <c r="E88" s="116"/>
      <c r="F88" s="173"/>
      <c r="G88" s="122"/>
      <c r="H88" s="122"/>
      <c r="I88" s="122"/>
      <c r="J88" s="122"/>
      <c r="K88" s="122"/>
      <c r="L88" s="128"/>
      <c r="M88" s="83"/>
    </row>
    <row r="89" spans="1:13" x14ac:dyDescent="0.25">
      <c r="A89" s="192" t="str">
        <f>IF($A83&lt;&gt;0,"Lot " &amp; VLOOKUP($A83,Liste!$A$10:$W$59,15,FALSE),"")</f>
        <v>Lot 59</v>
      </c>
      <c r="B89" s="202" t="str">
        <f>IF($A83&lt;&gt;0,VLOOKUP($A83,Liste!$A$10:$W$59,16,FALSE),"")</f>
        <v>Parking</v>
      </c>
      <c r="C89" s="119">
        <f>IF($A83&lt;&gt;0,VLOOKUP($A83,Liste!$A$10:$W$59,17,FALSE),"")</f>
        <v>10</v>
      </c>
      <c r="D89" s="119"/>
      <c r="E89" s="125"/>
      <c r="F89" s="172"/>
      <c r="G89" s="168" t="s">
        <v>159</v>
      </c>
      <c r="H89" s="174" t="s">
        <v>160</v>
      </c>
      <c r="I89" s="84"/>
      <c r="J89" s="84"/>
      <c r="K89" s="84"/>
      <c r="L89" s="108"/>
      <c r="M89" s="83"/>
    </row>
    <row r="90" spans="1:13" x14ac:dyDescent="0.25">
      <c r="A90" s="192" t="str">
        <f>IF($A83&lt;&gt;0,"Lot " &amp; VLOOKUP($A83,Liste!$A$10:$W$59,18,FALSE),"")</f>
        <v xml:space="preserve">Lot </v>
      </c>
      <c r="B90" s="202">
        <f>IF($A83&lt;&gt;0,VLOOKUP($A83,Liste!$A$10:$W$59,19,FALSE),"")</f>
        <v>0</v>
      </c>
      <c r="C90" s="119">
        <f>IF($A83&lt;&gt;0,VLOOKUP($A83,Liste!$A$10:$W$59,19,FALSE),"")</f>
        <v>0</v>
      </c>
      <c r="F90" s="172"/>
      <c r="G90" s="169" t="s">
        <v>161</v>
      </c>
      <c r="H90" s="174" t="s">
        <v>160</v>
      </c>
      <c r="I90" s="167"/>
      <c r="J90" s="167"/>
      <c r="K90" s="167"/>
      <c r="L90" s="176"/>
      <c r="M90" s="83"/>
    </row>
    <row r="91" spans="1:13" ht="18" thickBot="1" x14ac:dyDescent="0.3">
      <c r="A91" s="193" t="str">
        <f>IF($A83&lt;&gt;0,"Lot " &amp; VLOOKUP($A83,Liste!$A$10:$W$59,21,FALSE),"")</f>
        <v>Lot 84</v>
      </c>
      <c r="B91" s="203" t="str">
        <f>IF($A83&lt;&gt;0,VLOOKUP($A83,Liste!$A$10:$W$59,22,FALSE),"")</f>
        <v>Box</v>
      </c>
      <c r="C91" s="123">
        <f>IF($A83&lt;&gt;0,VLOOKUP($A83,Liste!$A$10:$W$59,23,FALSE),"")</f>
        <v>25</v>
      </c>
      <c r="D91" s="122"/>
      <c r="E91" s="122"/>
      <c r="F91" s="213"/>
      <c r="G91" s="226" t="str">
        <f>IF(OR(B84=0,VLOOKUP(A83,Liste!$A$10:'Liste'!$Z$59,26)&lt;&gt;""),"", "Voir autorisation messages électroniques")</f>
        <v>Voir autorisation messages électroniques</v>
      </c>
      <c r="H91" s="226"/>
      <c r="I91" s="226"/>
      <c r="J91" s="122"/>
      <c r="K91" s="122"/>
      <c r="L91" s="128"/>
      <c r="M91" s="83"/>
    </row>
    <row r="92" spans="1:13" ht="18" customHeight="1" x14ac:dyDescent="0.25">
      <c r="A92" s="120">
        <f>A83+1</f>
        <v>10</v>
      </c>
      <c r="B92" s="204"/>
      <c r="C92" s="82"/>
      <c r="D92" s="82"/>
      <c r="E92" s="82"/>
      <c r="F92" s="183"/>
      <c r="G92" s="181" t="s">
        <v>162</v>
      </c>
      <c r="H92" s="166"/>
      <c r="I92" s="166"/>
      <c r="J92" s="166"/>
      <c r="K92" s="166"/>
      <c r="L92" s="175"/>
      <c r="M92" s="83"/>
    </row>
    <row r="93" spans="1:13" ht="18" thickBot="1" x14ac:dyDescent="0.35">
      <c r="A93" s="83" t="str">
        <f>IF($A92&lt;&gt;0,VLOOKUP($A92,Liste!$A$10:$W$59,3,FALSE),"")</f>
        <v>Mr  et Mme</v>
      </c>
      <c r="B93" s="201" t="str">
        <f>IF($A92&lt;&gt;0,VLOOKUP($A92,Liste!$A$10:$W$59,4,FALSE),"")</f>
        <v>BALDARINI Marc</v>
      </c>
      <c r="E93" s="109">
        <f>IF($A92&lt;&gt;0,VLOOKUP($A92,Liste!$A$10:$W$59,8,FALSE),"")</f>
        <v>385</v>
      </c>
      <c r="F93" s="184"/>
      <c r="G93" s="182" t="s">
        <v>158</v>
      </c>
      <c r="H93" s="106"/>
      <c r="I93" s="106"/>
      <c r="J93" s="106"/>
      <c r="K93" s="106"/>
      <c r="L93" s="26"/>
      <c r="M93" s="83"/>
    </row>
    <row r="94" spans="1:13" x14ac:dyDescent="0.25">
      <c r="A94" s="114" t="str">
        <f>IF($A92&lt;&gt;0,VLOOKUP($A92,Liste!$A$10:$W$59,5,FALSE),"")</f>
        <v>13 rue de l' espoir</v>
      </c>
      <c r="B94" s="83"/>
      <c r="F94" s="170"/>
      <c r="G94" s="171" t="s">
        <v>163</v>
      </c>
      <c r="H94" s="171"/>
      <c r="I94" s="171"/>
      <c r="J94" s="171"/>
      <c r="K94" s="171"/>
      <c r="L94" s="127"/>
      <c r="M94" s="83"/>
    </row>
    <row r="95" spans="1:13" x14ac:dyDescent="0.25">
      <c r="A95" s="114">
        <f>IF($A92&lt;&gt;0,VLOOKUP($A92,Liste!$A$10:$W$59,6,FALSE),"")</f>
        <v>75016</v>
      </c>
      <c r="B95" s="114" t="str">
        <f>IF($A92&lt;&gt;0,VLOOKUP($A92,Liste!$A$10:$W$59,7,FALSE),"")</f>
        <v xml:space="preserve">Paris </v>
      </c>
      <c r="F95" s="172"/>
      <c r="G95" s="82"/>
      <c r="H95" s="82"/>
      <c r="I95" s="82"/>
      <c r="J95" s="82"/>
      <c r="K95" s="82"/>
      <c r="L95" s="89"/>
      <c r="M95" s="83"/>
    </row>
    <row r="96" spans="1:13" x14ac:dyDescent="0.25">
      <c r="A96" s="115" t="str">
        <f xml:space="preserve"> IF($A92&lt;&gt;0, "Lot " &amp; VLOOKUP($A92,Liste!$A$10:$W$59,9,FALSE),"")</f>
        <v>Lot 10</v>
      </c>
      <c r="B96" s="202" t="str">
        <f>IF($A92&lt;&gt;0,VLOOKUP($A92,Liste!$A$10:$W$59,10,FALSE),"")</f>
        <v>Appart,</v>
      </c>
      <c r="C96" s="110">
        <f>IF($A92&lt;&gt;0,VLOOKUP($A92,Liste!$A$10:$W$59,11,FALSE),"")</f>
        <v>325</v>
      </c>
      <c r="F96" s="172"/>
      <c r="G96" s="82"/>
      <c r="H96" s="82"/>
      <c r="I96" s="82"/>
      <c r="J96" s="82"/>
      <c r="K96" s="82"/>
      <c r="L96" s="89"/>
      <c r="M96" s="83"/>
    </row>
    <row r="97" spans="1:13" ht="13.8" thickBot="1" x14ac:dyDescent="0.3">
      <c r="A97" s="115" t="str">
        <f>IF($A92&lt;&gt;0,"Lot " &amp; VLOOKUP($A92,Liste!$A$10:$W$59,12,FALSE),"")</f>
        <v>Lot 35</v>
      </c>
      <c r="B97" s="202" t="str">
        <f>IF($A92&lt;&gt;0,VLOOKUP($A92,Liste!$A$10:$W$59,13,FALSE),"")</f>
        <v>Cave</v>
      </c>
      <c r="C97" s="110">
        <f>IF($A92&lt;&gt;0,VLOOKUP($A92,Liste!$A$10:$W$59,14,FALSE),"")</f>
        <v>20</v>
      </c>
      <c r="D97" s="111"/>
      <c r="E97" s="116"/>
      <c r="F97" s="173"/>
      <c r="G97" s="122"/>
      <c r="H97" s="122"/>
      <c r="I97" s="122"/>
      <c r="J97" s="122"/>
      <c r="K97" s="122"/>
      <c r="L97" s="128"/>
      <c r="M97" s="83"/>
    </row>
    <row r="98" spans="1:13" x14ac:dyDescent="0.25">
      <c r="A98" s="192" t="str">
        <f>IF($A92&lt;&gt;0,"Lot " &amp; VLOOKUP($A92,Liste!$A$10:$W$59,15,FALSE),"")</f>
        <v>Lot 60</v>
      </c>
      <c r="B98" s="202" t="str">
        <f>IF($A92&lt;&gt;0,VLOOKUP($A92,Liste!$A$10:$W$59,16,FALSE),"")</f>
        <v>Parking</v>
      </c>
      <c r="C98" s="119">
        <f>IF($A92&lt;&gt;0,VLOOKUP($A92,Liste!$A$10:$W$59,17,FALSE),"")</f>
        <v>10</v>
      </c>
      <c r="D98" s="119"/>
      <c r="E98" s="125"/>
      <c r="F98" s="172"/>
      <c r="G98" s="168" t="s">
        <v>159</v>
      </c>
      <c r="H98" s="174" t="s">
        <v>160</v>
      </c>
      <c r="I98" s="84"/>
      <c r="J98" s="84"/>
      <c r="K98" s="84"/>
      <c r="L98" s="108"/>
      <c r="M98" s="83"/>
    </row>
    <row r="99" spans="1:13" x14ac:dyDescent="0.25">
      <c r="A99" s="192" t="str">
        <f>IF($A92&lt;&gt;0,"Lot " &amp; VLOOKUP($A92,Liste!$A$10:$W$59,18,FALSE),"")</f>
        <v>Lot 80</v>
      </c>
      <c r="B99" s="202" t="str">
        <f>IF($A92&lt;&gt;0,VLOOKUP($A92,Liste!$A$10:$W$59,19,FALSE),"")</f>
        <v>Garage</v>
      </c>
      <c r="C99" s="119">
        <f>IF($A92&lt;&gt;0,VLOOKUP($A92,Liste!$A$10:$W$59,20,FALSE),"")</f>
        <v>30</v>
      </c>
      <c r="F99" s="172"/>
      <c r="G99" s="169" t="s">
        <v>161</v>
      </c>
      <c r="H99" s="174" t="s">
        <v>160</v>
      </c>
      <c r="I99" s="167"/>
      <c r="J99" s="167"/>
      <c r="K99" s="167"/>
      <c r="L99" s="176"/>
      <c r="M99" s="83"/>
    </row>
    <row r="100" spans="1:13" ht="18" thickBot="1" x14ac:dyDescent="0.3">
      <c r="A100" s="193" t="str">
        <f>IF($A92&lt;&gt;0,"Lot " &amp; VLOOKUP($A92,Liste!$A$10:$W$59,21,FALSE),"")</f>
        <v xml:space="preserve">Lot </v>
      </c>
      <c r="B100" s="203">
        <f>IF($A92&lt;&gt;0,VLOOKUP($A92,Liste!$A$10:$W$59,22,FALSE),"")</f>
        <v>0</v>
      </c>
      <c r="C100" s="123">
        <f>IF($A92&lt;&gt;0,VLOOKUP($A92,Liste!$A$10:$W$59,23,FALSE),"")</f>
        <v>0</v>
      </c>
      <c r="D100" s="122"/>
      <c r="E100" s="122"/>
      <c r="F100" s="213"/>
      <c r="G100" s="226" t="str">
        <f>IF(OR(B93=0,VLOOKUP(A92,Liste!$A$10:'Liste'!$Z$59,26)&lt;&gt;""),"", "Voir autorisation messages électroniques")</f>
        <v>Voir autorisation messages électroniques</v>
      </c>
      <c r="H100" s="226"/>
      <c r="I100" s="226"/>
      <c r="J100" s="122"/>
      <c r="K100" s="122"/>
      <c r="L100" s="128"/>
      <c r="M100" s="83"/>
    </row>
    <row r="101" spans="1:13" ht="17.25" customHeight="1" x14ac:dyDescent="0.25">
      <c r="A101" s="120">
        <f>A92+1</f>
        <v>11</v>
      </c>
      <c r="B101" s="204"/>
      <c r="C101" s="82"/>
      <c r="D101" s="82"/>
      <c r="E101" s="82"/>
      <c r="F101" s="183"/>
      <c r="G101" s="181" t="s">
        <v>162</v>
      </c>
      <c r="H101" s="166"/>
      <c r="I101" s="166"/>
      <c r="J101" s="166"/>
      <c r="K101" s="166"/>
      <c r="L101" s="175"/>
      <c r="M101" s="83"/>
    </row>
    <row r="102" spans="1:13" ht="18" thickBot="1" x14ac:dyDescent="0.35">
      <c r="A102" s="83" t="str">
        <f>IF($A101&lt;&gt;0,VLOOKUP($A101,Liste!$A$10:$W$59,3,FALSE),"")</f>
        <v>Monsieur</v>
      </c>
      <c r="B102" s="201" t="str">
        <f>IF($A101&lt;&gt;0,VLOOKUP($A101,Liste!$A$10:$W$59,4,FALSE),"")</f>
        <v>BARATIN Isaac</v>
      </c>
      <c r="E102" s="109">
        <f>IF($A101&lt;&gt;0,VLOOKUP($A101,Liste!$A$10:$W$59,8,FALSE),"")</f>
        <v>355</v>
      </c>
      <c r="F102" s="184"/>
      <c r="G102" s="182" t="s">
        <v>158</v>
      </c>
      <c r="H102" s="106"/>
      <c r="I102" s="106"/>
      <c r="J102" s="106"/>
      <c r="K102" s="106"/>
      <c r="L102" s="26"/>
      <c r="M102" s="83"/>
    </row>
    <row r="103" spans="1:13" x14ac:dyDescent="0.25">
      <c r="A103" s="114" t="str">
        <f>IF($A101&lt;&gt;0,VLOOKUP($A101,Liste!$A$10:$W$59,5,FALSE),"")</f>
        <v>14 rue de l' espoir</v>
      </c>
      <c r="B103" s="83"/>
      <c r="F103" s="170"/>
      <c r="G103" s="171" t="s">
        <v>163</v>
      </c>
      <c r="H103" s="171"/>
      <c r="I103" s="171"/>
      <c r="J103" s="171"/>
      <c r="K103" s="171"/>
      <c r="L103" s="127"/>
      <c r="M103" s="83"/>
    </row>
    <row r="104" spans="1:13" x14ac:dyDescent="0.25">
      <c r="A104" s="114">
        <f>IF($A101&lt;&gt;0,VLOOKUP($A101,Liste!$A$10:$W$59,6,FALSE),"")</f>
        <v>75016</v>
      </c>
      <c r="B104" s="114" t="str">
        <f>IF($A101&lt;&gt;0,VLOOKUP($A101,Liste!$A$10:$W$59,7,FALSE),"")</f>
        <v xml:space="preserve">Paris </v>
      </c>
      <c r="F104" s="172"/>
      <c r="G104" s="82"/>
      <c r="H104" s="82"/>
      <c r="I104" s="82"/>
      <c r="J104" s="82"/>
      <c r="K104" s="82"/>
      <c r="L104" s="89"/>
      <c r="M104" s="83"/>
    </row>
    <row r="105" spans="1:13" x14ac:dyDescent="0.25">
      <c r="A105" s="115" t="str">
        <f xml:space="preserve"> IF($A101&lt;&gt;0, "Lot " &amp; VLOOKUP($A101,Liste!$A$10:$W$59,9,FALSE),"")</f>
        <v>Lot 11</v>
      </c>
      <c r="B105" s="202" t="str">
        <f>IF($A101&lt;&gt;0,VLOOKUP($A101,Liste!$A$10:$W$59,10,FALSE),"")</f>
        <v>Appart,</v>
      </c>
      <c r="C105" s="110">
        <f>IF($A101&lt;&gt;0,VLOOKUP($A101,Liste!$A$10:$W$59,11,FALSE),"")</f>
        <v>325</v>
      </c>
      <c r="F105" s="172"/>
      <c r="G105" s="82"/>
      <c r="H105" s="82"/>
      <c r="I105" s="82"/>
      <c r="J105" s="82"/>
      <c r="K105" s="82"/>
      <c r="L105" s="89"/>
      <c r="M105" s="83"/>
    </row>
    <row r="106" spans="1:13" ht="13.8" thickBot="1" x14ac:dyDescent="0.3">
      <c r="A106" s="115" t="str">
        <f>IF($A101&lt;&gt;0,"Lot " &amp; VLOOKUP($A101,Liste!$A$10:$W$59,12,FALSE),"")</f>
        <v>Lot 36</v>
      </c>
      <c r="B106" s="202" t="str">
        <f>IF($A101&lt;&gt;0,VLOOKUP($A101,Liste!$A$10:$W$59,13,FALSE),"")</f>
        <v>Cave</v>
      </c>
      <c r="C106" s="110">
        <f>IF($A101&lt;&gt;0,VLOOKUP($A101,Liste!$A$10:$W$59,14,FALSE),"")</f>
        <v>20</v>
      </c>
      <c r="D106" s="111"/>
      <c r="E106" s="116"/>
      <c r="F106" s="173"/>
      <c r="G106" s="122"/>
      <c r="H106" s="122"/>
      <c r="I106" s="122"/>
      <c r="J106" s="122"/>
      <c r="K106" s="122"/>
      <c r="L106" s="128"/>
      <c r="M106" s="83"/>
    </row>
    <row r="107" spans="1:13" x14ac:dyDescent="0.25">
      <c r="A107" s="192" t="str">
        <f>IF($A101&lt;&gt;0,"Lot " &amp; VLOOKUP($A101,Liste!$A$10:$W$59,15,FALSE),"")</f>
        <v>Lot 61</v>
      </c>
      <c r="B107" s="202" t="str">
        <f>IF($A101&lt;&gt;0,VLOOKUP($A101,Liste!$A$10:$W$59,16,FALSE),"")</f>
        <v>Parking</v>
      </c>
      <c r="C107" s="119">
        <f>IF($A101&lt;&gt;0,VLOOKUP($A101,Liste!$A$10:$W$59,17,FALSE),"")</f>
        <v>10</v>
      </c>
      <c r="D107" s="119"/>
      <c r="E107" s="125"/>
      <c r="F107" s="172"/>
      <c r="G107" s="168" t="s">
        <v>159</v>
      </c>
      <c r="H107" s="174" t="s">
        <v>160</v>
      </c>
      <c r="I107" s="84"/>
      <c r="J107" s="84"/>
      <c r="K107" s="84"/>
      <c r="L107" s="108"/>
      <c r="M107" s="83"/>
    </row>
    <row r="108" spans="1:13" x14ac:dyDescent="0.25">
      <c r="A108" s="192" t="str">
        <f>IF($A101&lt;&gt;0,"Lot " &amp; VLOOKUP($A101,Liste!$A$10:$W$59,18,FALSE),"")</f>
        <v xml:space="preserve">Lot </v>
      </c>
      <c r="B108" s="202">
        <f>IF($A101&lt;&gt;0,VLOOKUP($A101,Liste!$A$10:$W$59,19,FALSE),"")</f>
        <v>0</v>
      </c>
      <c r="C108" s="119">
        <f>IF($A101&lt;&gt;0,VLOOKUP($A101,Liste!$A$10:$W$59,20,FALSE),"")</f>
        <v>0</v>
      </c>
      <c r="F108" s="172"/>
      <c r="G108" s="169" t="s">
        <v>161</v>
      </c>
      <c r="H108" s="174" t="s">
        <v>160</v>
      </c>
      <c r="I108" s="167"/>
      <c r="J108" s="167"/>
      <c r="K108" s="167"/>
      <c r="L108" s="176"/>
      <c r="M108" s="83"/>
    </row>
    <row r="109" spans="1:13" ht="18" thickBot="1" x14ac:dyDescent="0.3">
      <c r="A109" s="193" t="str">
        <f>IF($A101&lt;&gt;0,"Lot " &amp; VLOOKUP($A101,Liste!$A$10:$W$59,21,FALSE),"")</f>
        <v xml:space="preserve">Lot </v>
      </c>
      <c r="B109" s="203">
        <f>IF($A101&lt;&gt;0,VLOOKUP($A101,Liste!$A$10:$W$59,22,FALSE),"")</f>
        <v>0</v>
      </c>
      <c r="C109" s="123">
        <f>IF($A101&lt;&gt;0,VLOOKUP($A101,Liste!$A$10:$W$59,23,FALSE),"")</f>
        <v>0</v>
      </c>
      <c r="D109" s="122"/>
      <c r="E109" s="122"/>
      <c r="F109" s="213"/>
      <c r="G109" s="226" t="str">
        <f>IF(OR(B102=0,VLOOKUP(A101,Liste!$A$10:'Liste'!$Z$59,26)&lt;&gt;""),"", "Voir autorisation messages électroniques")</f>
        <v/>
      </c>
      <c r="H109" s="226"/>
      <c r="I109" s="226"/>
      <c r="J109" s="122"/>
      <c r="K109" s="122"/>
      <c r="L109" s="128"/>
      <c r="M109" s="83"/>
    </row>
    <row r="110" spans="1:13" ht="17.25" customHeight="1" x14ac:dyDescent="0.25">
      <c r="A110" s="120">
        <f>A101+1</f>
        <v>12</v>
      </c>
      <c r="B110" s="204"/>
      <c r="C110" s="82"/>
      <c r="D110" s="82"/>
      <c r="E110" s="82"/>
      <c r="F110" s="183"/>
      <c r="G110" s="181" t="s">
        <v>162</v>
      </c>
      <c r="H110" s="166"/>
      <c r="I110" s="166"/>
      <c r="J110" s="166"/>
      <c r="K110" s="166"/>
      <c r="L110" s="175"/>
      <c r="M110" s="83"/>
    </row>
    <row r="111" spans="1:13" ht="18" thickBot="1" x14ac:dyDescent="0.35">
      <c r="A111" s="83" t="str">
        <f>IF($A110&lt;&gt;0,VLOOKUP($A110,Liste!$A$10:$W$59,3,FALSE),"")</f>
        <v>Monsieur</v>
      </c>
      <c r="B111" s="201" t="str">
        <f>IF($A110&lt;&gt;0,VLOOKUP($A110,Liste!$A$10:$W$59,4,FALSE),"")</f>
        <v>BARDON Pierre</v>
      </c>
      <c r="E111" s="109">
        <f>IF($A110&lt;&gt;0,VLOOKUP($A110,Liste!$A$10:$W$59,8,FALSE),"")</f>
        <v>480</v>
      </c>
      <c r="F111" s="184"/>
      <c r="G111" s="182" t="s">
        <v>158</v>
      </c>
      <c r="H111" s="106"/>
      <c r="I111" s="106"/>
      <c r="J111" s="106"/>
      <c r="K111" s="106"/>
      <c r="L111" s="26"/>
      <c r="M111" s="83"/>
    </row>
    <row r="112" spans="1:13" x14ac:dyDescent="0.25">
      <c r="A112" s="114" t="str">
        <f>IF($A110&lt;&gt;0,VLOOKUP($A110,Liste!$A$10:$W$59,5,FALSE),"")</f>
        <v>15 rue de l' espoir</v>
      </c>
      <c r="B112" s="83"/>
      <c r="F112" s="170"/>
      <c r="G112" s="171" t="s">
        <v>163</v>
      </c>
      <c r="H112" s="171"/>
      <c r="I112" s="171"/>
      <c r="J112" s="171"/>
      <c r="K112" s="171"/>
      <c r="L112" s="127"/>
      <c r="M112" s="83"/>
    </row>
    <row r="113" spans="1:13" x14ac:dyDescent="0.25">
      <c r="A113" s="114">
        <f>IF($A110&lt;&gt;0,VLOOKUP($A110,Liste!$A$10:$W$59,6,FALSE),"")</f>
        <v>75016</v>
      </c>
      <c r="B113" s="114" t="str">
        <f>IF($A110&lt;&gt;0,VLOOKUP($A110,Liste!$A$10:$W$59,7,FALSE),"")</f>
        <v xml:space="preserve">Paris </v>
      </c>
      <c r="F113" s="172"/>
      <c r="G113" s="82"/>
      <c r="H113" s="82"/>
      <c r="I113" s="82"/>
      <c r="J113" s="82"/>
      <c r="K113" s="82"/>
      <c r="L113" s="89"/>
      <c r="M113" s="83"/>
    </row>
    <row r="114" spans="1:13" x14ac:dyDescent="0.25">
      <c r="A114" s="115" t="str">
        <f xml:space="preserve"> IF($A110&lt;&gt;0, "Lot " &amp; VLOOKUP($A110,Liste!$A$10:$W$59,9,FALSE),"")</f>
        <v>Lot 19</v>
      </c>
      <c r="B114" s="202" t="str">
        <f>IF($A110&lt;&gt;0,VLOOKUP($A110,Liste!$A$10:$W$59,10,FALSE),"")</f>
        <v>Appart,</v>
      </c>
      <c r="C114" s="110">
        <f>IF($A110&lt;&gt;0,VLOOKUP($A110,Liste!$A$10:$W$59,11,FALSE),"")</f>
        <v>425</v>
      </c>
      <c r="F114" s="172"/>
      <c r="G114" s="82"/>
      <c r="H114" s="82"/>
      <c r="I114" s="82"/>
      <c r="J114" s="82"/>
      <c r="K114" s="82"/>
      <c r="L114" s="89"/>
      <c r="M114" s="83"/>
    </row>
    <row r="115" spans="1:13" ht="13.8" thickBot="1" x14ac:dyDescent="0.3">
      <c r="A115" s="115" t="str">
        <f>IF($A110&lt;&gt;0,"Lot " &amp; VLOOKUP($A110,Liste!$A$10:$W$59,12,FALSE),"")</f>
        <v>Lot 44</v>
      </c>
      <c r="B115" s="202" t="str">
        <f>IF($A110&lt;&gt;0,VLOOKUP($A110,Liste!$A$10:$W$59,13,FALSE),"")</f>
        <v>Cave</v>
      </c>
      <c r="C115" s="110">
        <f>IF($A110&lt;&gt;0,VLOOKUP($A110,Liste!$A$10:$W$59,14,FALSE),"")</f>
        <v>20</v>
      </c>
      <c r="D115" s="111"/>
      <c r="E115" s="116"/>
      <c r="F115" s="173"/>
      <c r="G115" s="122"/>
      <c r="H115" s="122"/>
      <c r="I115" s="122"/>
      <c r="J115" s="122"/>
      <c r="K115" s="122"/>
      <c r="L115" s="128"/>
      <c r="M115" s="83"/>
    </row>
    <row r="116" spans="1:13" x14ac:dyDescent="0.25">
      <c r="A116" s="192" t="str">
        <f>IF($A110&lt;&gt;0,"Lot " &amp; VLOOKUP($A110,Liste!$A$10:$W$59,15,FALSE),"")</f>
        <v>Lot 69</v>
      </c>
      <c r="B116" s="202" t="str">
        <f>IF($A110&lt;&gt;0,VLOOKUP($A110,Liste!$A$10:$W$59,16,FALSE),"")</f>
        <v>Parking</v>
      </c>
      <c r="C116" s="119">
        <f>IF($A110&lt;&gt;0,VLOOKUP($A110,Liste!$A$10:$W$59,17,FALSE),"")</f>
        <v>10</v>
      </c>
      <c r="D116" s="119"/>
      <c r="E116" s="125"/>
      <c r="F116" s="172"/>
      <c r="G116" s="168" t="s">
        <v>159</v>
      </c>
      <c r="H116" s="174" t="s">
        <v>160</v>
      </c>
      <c r="I116" s="84"/>
      <c r="J116" s="84"/>
      <c r="K116" s="84"/>
      <c r="L116" s="108"/>
      <c r="M116" s="83"/>
    </row>
    <row r="117" spans="1:13" x14ac:dyDescent="0.25">
      <c r="A117" s="192" t="str">
        <f>IF($A110&lt;&gt;0,"Lot " &amp; VLOOKUP($A110,Liste!$A$10:$W$59,18,FALSE),"")</f>
        <v xml:space="preserve">Lot </v>
      </c>
      <c r="B117" s="202">
        <f>IF($A110&lt;&gt;0,VLOOKUP($A110,Liste!$A$10:$W$59,19,FALSE),"")</f>
        <v>0</v>
      </c>
      <c r="C117" s="119">
        <f>IF($A110&lt;&gt;0,VLOOKUP($A110,Liste!$A$10:$W$59,20,FALSE),"")</f>
        <v>0</v>
      </c>
      <c r="F117" s="172"/>
      <c r="G117" s="169" t="s">
        <v>161</v>
      </c>
      <c r="H117" s="174" t="s">
        <v>160</v>
      </c>
      <c r="I117" s="167"/>
      <c r="J117" s="167"/>
      <c r="K117" s="167"/>
      <c r="L117" s="176"/>
      <c r="M117" s="83"/>
    </row>
    <row r="118" spans="1:13" ht="18" thickBot="1" x14ac:dyDescent="0.3">
      <c r="A118" s="193" t="str">
        <f>IF($A110&lt;&gt;0,"Lot " &amp; VLOOKUP($A110,Liste!$A$10:$W$59,21,FALSE),"")</f>
        <v>Lot 86</v>
      </c>
      <c r="B118" s="203" t="str">
        <f>IF($A110&lt;&gt;0,VLOOKUP($A110,Liste!$A$10:$W$59,22,FALSE),"")</f>
        <v>Box</v>
      </c>
      <c r="C118" s="123">
        <f>IF($A110&lt;&gt;0,VLOOKUP($A110,Liste!$A$10:$W$59,23,FALSE),"")</f>
        <v>25</v>
      </c>
      <c r="D118" s="122"/>
      <c r="E118" s="122"/>
      <c r="F118" s="213"/>
      <c r="G118" s="226" t="str">
        <f>IF(OR(B111=0,VLOOKUP(A110,Liste!$A$10:'Liste'!$Z$59,26)&lt;&gt;""),"", "Voir autorisation messages électroniques")</f>
        <v>Voir autorisation messages électroniques</v>
      </c>
      <c r="H118" s="226"/>
      <c r="I118" s="226"/>
      <c r="J118" s="122"/>
      <c r="K118" s="122"/>
      <c r="L118" s="128"/>
      <c r="M118" s="83"/>
    </row>
    <row r="119" spans="1:13" x14ac:dyDescent="0.25">
      <c r="A119" s="120">
        <f>A110+1</f>
        <v>13</v>
      </c>
      <c r="B119" s="204"/>
      <c r="C119" s="82"/>
      <c r="D119" s="82"/>
      <c r="E119" s="82"/>
      <c r="F119" s="183"/>
      <c r="G119" s="181" t="s">
        <v>162</v>
      </c>
      <c r="H119" s="166"/>
      <c r="I119" s="166"/>
      <c r="J119" s="166"/>
      <c r="K119" s="166"/>
      <c r="L119" s="175"/>
      <c r="M119" s="83"/>
    </row>
    <row r="120" spans="1:13" ht="18" thickBot="1" x14ac:dyDescent="0.35">
      <c r="A120" s="83" t="str">
        <f>IF($A119&lt;&gt;0,VLOOKUP($A119,Liste!$A$10:$W$59,3,FALSE),"")</f>
        <v>Monsieur</v>
      </c>
      <c r="B120" s="201" t="str">
        <f>IF($A119&lt;&gt;0,VLOOKUP($A119,Liste!$A$10:$W$59,4,FALSE),"")</f>
        <v>BARMAN Marcel</v>
      </c>
      <c r="E120" s="109">
        <f>IF($A119&lt;&gt;0,VLOOKUP($A119,Liste!$A$10:$W$59,8,FALSE),"")</f>
        <v>320</v>
      </c>
      <c r="F120" s="184"/>
      <c r="G120" s="182" t="s">
        <v>158</v>
      </c>
      <c r="H120" s="106"/>
      <c r="I120" s="106"/>
      <c r="J120" s="106"/>
      <c r="K120" s="106"/>
      <c r="L120" s="26"/>
      <c r="M120" s="83"/>
    </row>
    <row r="121" spans="1:13" x14ac:dyDescent="0.25">
      <c r="A121" s="114" t="str">
        <f>IF($A119&lt;&gt;0,VLOOKUP($A119,Liste!$A$10:$W$59,5,FALSE),"")</f>
        <v>13 rue de l' espoir</v>
      </c>
      <c r="B121" s="83"/>
      <c r="F121" s="170"/>
      <c r="G121" s="171" t="s">
        <v>163</v>
      </c>
      <c r="H121" s="171"/>
      <c r="I121" s="171"/>
      <c r="J121" s="171"/>
      <c r="K121" s="171"/>
      <c r="L121" s="127"/>
      <c r="M121" s="83"/>
    </row>
    <row r="122" spans="1:13" x14ac:dyDescent="0.25">
      <c r="A122" s="114">
        <f>IF($A119&lt;&gt;0,VLOOKUP($A119,Liste!$A$10:$W$59,6,FALSE),"")</f>
        <v>75016</v>
      </c>
      <c r="B122" s="114" t="str">
        <f>IF($A119&lt;&gt;0,VLOOKUP($A119,Liste!$A$10:$W$59,7,FALSE),"")</f>
        <v xml:space="preserve">Paris </v>
      </c>
      <c r="F122" s="172"/>
      <c r="G122" s="82"/>
      <c r="H122" s="82"/>
      <c r="I122" s="82"/>
      <c r="J122" s="82"/>
      <c r="K122" s="82"/>
      <c r="L122" s="89"/>
      <c r="M122" s="83"/>
    </row>
    <row r="123" spans="1:13" x14ac:dyDescent="0.25">
      <c r="A123" s="115" t="str">
        <f xml:space="preserve"> IF($A119&lt;&gt;0, "Lot " &amp; VLOOKUP($A119,Liste!$A$10:$W$59,9,FALSE),"")</f>
        <v>Lot 12</v>
      </c>
      <c r="B123" s="202" t="str">
        <f>IF($A119&lt;&gt;0,VLOOKUP($A119,Liste!$A$10:$W$59,10,FALSE),"")</f>
        <v>Appart,</v>
      </c>
      <c r="C123" s="110">
        <f>IF($A119&lt;&gt;0,VLOOKUP($A119,Liste!$A$10:$W$59,11,FALSE),"")</f>
        <v>260</v>
      </c>
      <c r="F123" s="172"/>
      <c r="G123" s="82"/>
      <c r="H123" s="82"/>
      <c r="I123" s="82"/>
      <c r="J123" s="82"/>
      <c r="K123" s="82"/>
      <c r="L123" s="89"/>
      <c r="M123" s="83"/>
    </row>
    <row r="124" spans="1:13" ht="13.8" thickBot="1" x14ac:dyDescent="0.3">
      <c r="A124" s="115" t="str">
        <f>IF($A119&lt;&gt;0,"Lot " &amp; VLOOKUP($A119,Liste!$A$10:$W$59,12,FALSE),"")</f>
        <v>Lot 37</v>
      </c>
      <c r="B124" s="202" t="str">
        <f>IF($A119&lt;&gt;0,VLOOKUP($A119,Liste!$A$10:$W$59,13,FALSE),"")</f>
        <v>Cave</v>
      </c>
      <c r="C124" s="110">
        <f>IF($A119&lt;&gt;0,VLOOKUP($A119,Liste!$A$10:$W$59,14,FALSE),"")</f>
        <v>20</v>
      </c>
      <c r="D124" s="111"/>
      <c r="E124" s="116"/>
      <c r="F124" s="173"/>
      <c r="G124" s="122"/>
      <c r="H124" s="122"/>
      <c r="I124" s="122"/>
      <c r="J124" s="122"/>
      <c r="K124" s="122"/>
      <c r="L124" s="128"/>
      <c r="M124" s="83"/>
    </row>
    <row r="125" spans="1:13" x14ac:dyDescent="0.25">
      <c r="A125" s="192" t="str">
        <f>IF($A119&lt;&gt;0,"Lot " &amp; VLOOKUP($A119,Liste!$A$10:$W$59,15,FALSE),"")</f>
        <v>Lot 62</v>
      </c>
      <c r="B125" s="202" t="str">
        <f>IF($A119&lt;&gt;0,VLOOKUP($A119,Liste!$A$10:$W$59,16,FALSE),"")</f>
        <v>Parking</v>
      </c>
      <c r="C125" s="119">
        <f>IF($A119&lt;&gt;0,VLOOKUP($A119,Liste!$A$10:$W$59,17,FALSE),"")</f>
        <v>10</v>
      </c>
      <c r="D125" s="119"/>
      <c r="E125" s="125"/>
      <c r="F125" s="172"/>
      <c r="G125" s="168" t="s">
        <v>159</v>
      </c>
      <c r="H125" s="174" t="s">
        <v>160</v>
      </c>
      <c r="I125" s="84"/>
      <c r="J125" s="84"/>
      <c r="K125" s="84"/>
      <c r="L125" s="108"/>
      <c r="M125" s="83"/>
    </row>
    <row r="126" spans="1:13" x14ac:dyDescent="0.25">
      <c r="A126" s="192" t="str">
        <f>IF($A119&lt;&gt;0,"Lot " &amp; VLOOKUP($A119,Liste!$A$10:$W$59,18,FALSE),"")</f>
        <v>Lot 81</v>
      </c>
      <c r="B126" s="202" t="str">
        <f>IF($A119&lt;&gt;0,VLOOKUP($A119,Liste!$A$10:$W$59,19,FALSE),"")</f>
        <v>Garage</v>
      </c>
      <c r="C126" s="119">
        <f>IF($A119&lt;&gt;0,VLOOKUP($A119,Liste!$A$10:$W$59,20,FALSE),"")</f>
        <v>30</v>
      </c>
      <c r="F126" s="172"/>
      <c r="G126" s="169" t="s">
        <v>161</v>
      </c>
      <c r="H126" s="174" t="s">
        <v>160</v>
      </c>
      <c r="I126" s="167"/>
      <c r="J126" s="167"/>
      <c r="K126" s="167"/>
      <c r="L126" s="176"/>
      <c r="M126" s="83"/>
    </row>
    <row r="127" spans="1:13" ht="18" thickBot="1" x14ac:dyDescent="0.3">
      <c r="A127" s="193" t="str">
        <f>IF($A119&lt;&gt;0,"Lot " &amp; VLOOKUP($A119,Liste!$A$10:$W$59,21,FALSE),"")</f>
        <v xml:space="preserve">Lot </v>
      </c>
      <c r="B127" s="203">
        <f>IF($A119&lt;&gt;0,VLOOKUP($A119,Liste!$A$10:$W$59,22,FALSE),"")</f>
        <v>0</v>
      </c>
      <c r="C127" s="123">
        <f>IF($A119&lt;&gt;0,VLOOKUP($A119,Liste!$A$10:$W$59,23,FALSE),"")</f>
        <v>0</v>
      </c>
      <c r="D127" s="122"/>
      <c r="E127" s="122"/>
      <c r="F127" s="213"/>
      <c r="G127" s="226" t="str">
        <f>IF(OR(B120=0,VLOOKUP(A119,Liste!$A$10:'Liste'!$Z$59,26)&lt;&gt;""),"", "Voir autorisation messages électroniques")</f>
        <v/>
      </c>
      <c r="H127" s="226"/>
      <c r="I127" s="226"/>
      <c r="J127" s="122"/>
      <c r="K127" s="122"/>
      <c r="L127" s="128"/>
      <c r="M127" s="83"/>
    </row>
    <row r="128" spans="1:13" ht="18" customHeight="1" x14ac:dyDescent="0.25">
      <c r="A128" s="120">
        <f>A119+1</f>
        <v>14</v>
      </c>
      <c r="B128" s="204"/>
      <c r="C128" s="82"/>
      <c r="D128" s="82"/>
      <c r="E128" s="82"/>
      <c r="F128" s="183"/>
      <c r="G128" s="181" t="s">
        <v>162</v>
      </c>
      <c r="H128" s="166"/>
      <c r="I128" s="166"/>
      <c r="J128" s="166"/>
      <c r="K128" s="166"/>
      <c r="L128" s="175"/>
      <c r="M128" s="83"/>
    </row>
    <row r="129" spans="1:13" ht="18" thickBot="1" x14ac:dyDescent="0.35">
      <c r="A129" s="83" t="str">
        <f>IF($A128&lt;&gt;0,VLOOKUP($A128,Liste!$A$10:$W$59,3,FALSE),"")</f>
        <v>Madame</v>
      </c>
      <c r="B129" s="201" t="str">
        <f>IF($A128&lt;&gt;0,VLOOKUP($A128,Liste!$A$10:$W$59,4,FALSE),"")</f>
        <v>BATEMONT Jeanne</v>
      </c>
      <c r="E129" s="109">
        <f>IF($A128&lt;&gt;0,VLOOKUP($A128,Liste!$A$10:$W$59,8,FALSE),"")</f>
        <v>435</v>
      </c>
      <c r="F129" s="184"/>
      <c r="G129" s="182" t="s">
        <v>158</v>
      </c>
      <c r="H129" s="106"/>
      <c r="I129" s="106"/>
      <c r="J129" s="106"/>
      <c r="K129" s="106"/>
      <c r="L129" s="26"/>
      <c r="M129" s="83"/>
    </row>
    <row r="130" spans="1:13" x14ac:dyDescent="0.25">
      <c r="A130" s="114" t="str">
        <f>IF($A128&lt;&gt;0,VLOOKUP($A128,Liste!$A$10:$W$59,5,FALSE),"")</f>
        <v>14 rue de l' espoir</v>
      </c>
      <c r="B130" s="83"/>
      <c r="F130" s="170"/>
      <c r="G130" s="171" t="s">
        <v>163</v>
      </c>
      <c r="H130" s="171"/>
      <c r="I130" s="171"/>
      <c r="J130" s="171"/>
      <c r="K130" s="171"/>
      <c r="L130" s="127"/>
      <c r="M130" s="83"/>
    </row>
    <row r="131" spans="1:13" x14ac:dyDescent="0.25">
      <c r="A131" s="114">
        <f>IF($A128&lt;&gt;0,VLOOKUP($A128,Liste!$A$10:$W$59,6,FALSE),"")</f>
        <v>75016</v>
      </c>
      <c r="B131" s="114" t="str">
        <f>IF($A128&lt;&gt;0,VLOOKUP($A128,Liste!$A$10:$W$59,7,FALSE),"")</f>
        <v xml:space="preserve">Paris </v>
      </c>
      <c r="F131" s="172"/>
      <c r="G131" s="82"/>
      <c r="H131" s="82"/>
      <c r="I131" s="82"/>
      <c r="J131" s="82"/>
      <c r="K131" s="82"/>
      <c r="L131" s="89"/>
      <c r="M131" s="83"/>
    </row>
    <row r="132" spans="1:13" x14ac:dyDescent="0.25">
      <c r="A132" s="115" t="str">
        <f xml:space="preserve"> IF($A128&lt;&gt;0, "Lot " &amp; VLOOKUP($A128,Liste!$A$10:$W$59,9,FALSE),"")</f>
        <v>Lot 13</v>
      </c>
      <c r="B132" s="202" t="str">
        <f>IF($A128&lt;&gt;0,VLOOKUP($A128,Liste!$A$10:$W$59,10,FALSE),"")</f>
        <v>Appart,</v>
      </c>
      <c r="C132" s="110">
        <f>IF($A128&lt;&gt;0,VLOOKUP($A128,Liste!$A$10:$W$59,11,FALSE),"")</f>
        <v>405</v>
      </c>
      <c r="F132" s="172"/>
      <c r="G132" s="82"/>
      <c r="H132" s="82"/>
      <c r="I132" s="82"/>
      <c r="J132" s="82"/>
      <c r="K132" s="82"/>
      <c r="L132" s="89"/>
      <c r="M132" s="83"/>
    </row>
    <row r="133" spans="1:13" ht="13.8" thickBot="1" x14ac:dyDescent="0.3">
      <c r="A133" s="115" t="str">
        <f>IF($A128&lt;&gt;0,"Lot " &amp; VLOOKUP($A128,Liste!$A$10:$W$59,12,FALSE),"")</f>
        <v>Lot 38</v>
      </c>
      <c r="B133" s="202" t="str">
        <f>IF($A128&lt;&gt;0,VLOOKUP($A128,Liste!$A$10:$W$59,13,FALSE),"")</f>
        <v>Cave</v>
      </c>
      <c r="C133" s="110">
        <f>IF($A128&lt;&gt;0,VLOOKUP($A128,Liste!$A$10:$W$59,14,FALSE),"")</f>
        <v>20</v>
      </c>
      <c r="D133" s="111"/>
      <c r="E133" s="116"/>
      <c r="F133" s="173"/>
      <c r="G133" s="122"/>
      <c r="H133" s="122"/>
      <c r="I133" s="122"/>
      <c r="J133" s="122"/>
      <c r="K133" s="122"/>
      <c r="L133" s="128"/>
      <c r="M133" s="83"/>
    </row>
    <row r="134" spans="1:13" x14ac:dyDescent="0.25">
      <c r="A134" s="192" t="str">
        <f>IF($A128&lt;&gt;0,"Lot " &amp; VLOOKUP($A128,Liste!$A$10:$W$59,15,FALSE),"")</f>
        <v>Lot 63</v>
      </c>
      <c r="B134" s="202" t="str">
        <f>IF($A128&lt;&gt;0,VLOOKUP($A128,Liste!$A$10:$W$59,16,FALSE),"")</f>
        <v>Parking</v>
      </c>
      <c r="C134" s="119">
        <f>IF($A128&lt;&gt;0,VLOOKUP($A128,Liste!$A$10:$W$59,17,FALSE),"")</f>
        <v>10</v>
      </c>
      <c r="D134" s="119"/>
      <c r="E134" s="125"/>
      <c r="F134" s="172"/>
      <c r="G134" s="168" t="s">
        <v>159</v>
      </c>
      <c r="H134" s="174" t="s">
        <v>160</v>
      </c>
      <c r="I134" s="84"/>
      <c r="J134" s="84"/>
      <c r="K134" s="84"/>
      <c r="L134" s="108"/>
      <c r="M134" s="83"/>
    </row>
    <row r="135" spans="1:13" x14ac:dyDescent="0.25">
      <c r="A135" s="192" t="str">
        <f>IF($A128&lt;&gt;0,"Lot " &amp; VLOOKUP($A128,Liste!$A$10:$W$59,18,FALSE),"")</f>
        <v xml:space="preserve">Lot </v>
      </c>
      <c r="B135" s="202">
        <f>IF($A128&lt;&gt;0,VLOOKUP($A128,Liste!$A$10:$W$59,19,FALSE),"")</f>
        <v>0</v>
      </c>
      <c r="C135" s="119">
        <f>IF($A128&lt;&gt;0,VLOOKUP($A128,Liste!$A$10:$W$59,20,FALSE),"")</f>
        <v>0</v>
      </c>
      <c r="F135" s="172"/>
      <c r="G135" s="169" t="s">
        <v>161</v>
      </c>
      <c r="H135" s="174" t="s">
        <v>160</v>
      </c>
      <c r="I135" s="167"/>
      <c r="J135" s="167"/>
      <c r="K135" s="167"/>
      <c r="L135" s="176"/>
      <c r="M135" s="83"/>
    </row>
    <row r="136" spans="1:13" ht="18" thickBot="1" x14ac:dyDescent="0.3">
      <c r="A136" s="193" t="str">
        <f>IF($A128&lt;&gt;0,"Lot " &amp; VLOOKUP($A128,Liste!$A$10:$W$59,21,FALSE),"")</f>
        <v xml:space="preserve">Lot </v>
      </c>
      <c r="B136" s="203">
        <f>IF($A128&lt;&gt;0,VLOOKUP($A128,Liste!$A$10:$W$59,22,FALSE),"")</f>
        <v>0</v>
      </c>
      <c r="C136" s="123">
        <f>IF($A128&lt;&gt;0,VLOOKUP($A128,Liste!$A$10:$W$59,23,FALSE),"")</f>
        <v>0</v>
      </c>
      <c r="D136" s="122"/>
      <c r="E136" s="122"/>
      <c r="F136" s="213"/>
      <c r="G136" s="226" t="str">
        <f>IF(OR(B129=0,VLOOKUP(A128,Liste!$A$10:'Liste'!$Z$59,26)&lt;&gt;""),"", "Voir autorisation messages électroniques")</f>
        <v>Voir autorisation messages électroniques</v>
      </c>
      <c r="H136" s="226"/>
      <c r="I136" s="226"/>
      <c r="J136" s="122"/>
      <c r="K136" s="122"/>
      <c r="L136" s="128"/>
      <c r="M136" s="83"/>
    </row>
    <row r="137" spans="1:13" ht="20.25" customHeight="1" x14ac:dyDescent="0.25">
      <c r="A137" s="120">
        <f>A128+1</f>
        <v>15</v>
      </c>
      <c r="B137" s="204"/>
      <c r="C137" s="82"/>
      <c r="D137" s="82"/>
      <c r="E137" s="82"/>
      <c r="F137" s="183"/>
      <c r="G137" s="181" t="s">
        <v>162</v>
      </c>
      <c r="H137" s="166"/>
      <c r="I137" s="166"/>
      <c r="J137" s="166"/>
      <c r="K137" s="166"/>
      <c r="L137" s="175"/>
      <c r="M137" s="83"/>
    </row>
    <row r="138" spans="1:13" ht="18" thickBot="1" x14ac:dyDescent="0.35">
      <c r="A138" s="83" t="str">
        <f>IF($A137&lt;&gt;0,VLOOKUP($A137,Liste!$A$10:$W$59,3,FALSE),"")</f>
        <v>Monsieur</v>
      </c>
      <c r="B138" s="201" t="str">
        <f>IF($A137&lt;&gt;0,VLOOKUP($A137,Liste!$A$10:$W$59,4,FALSE),"")</f>
        <v>BAUDIARD Marcelin</v>
      </c>
      <c r="E138" s="109">
        <f>IF($A137&lt;&gt;0,VLOOKUP($A137,Liste!$A$10:$W$59,8,FALSE),"")</f>
        <v>395</v>
      </c>
      <c r="F138" s="184"/>
      <c r="G138" s="182" t="s">
        <v>158</v>
      </c>
      <c r="H138" s="106"/>
      <c r="I138" s="106"/>
      <c r="J138" s="106"/>
      <c r="K138" s="106"/>
      <c r="L138" s="26"/>
      <c r="M138" s="83"/>
    </row>
    <row r="139" spans="1:13" x14ac:dyDescent="0.25">
      <c r="A139" s="114" t="str">
        <f>IF($A137&lt;&gt;0,VLOOKUP($A137,Liste!$A$10:$W$59,5,FALSE),"")</f>
        <v>15 rue de l' espoir</v>
      </c>
      <c r="B139" s="83"/>
      <c r="F139" s="170"/>
      <c r="G139" s="171" t="s">
        <v>163</v>
      </c>
      <c r="H139" s="171"/>
      <c r="I139" s="171"/>
      <c r="J139" s="171"/>
      <c r="K139" s="171"/>
      <c r="L139" s="127"/>
      <c r="M139" s="83"/>
    </row>
    <row r="140" spans="1:13" x14ac:dyDescent="0.25">
      <c r="A140" s="114">
        <f>IF($A137&lt;&gt;0,VLOOKUP($A137,Liste!$A$10:$W$59,6,FALSE),"")</f>
        <v>75016</v>
      </c>
      <c r="B140" s="114" t="str">
        <f>IF($A137&lt;&gt;0,VLOOKUP($A137,Liste!$A$10:$W$59,7,FALSE),"")</f>
        <v xml:space="preserve">Paris </v>
      </c>
      <c r="F140" s="172"/>
      <c r="G140" s="82"/>
      <c r="H140" s="82"/>
      <c r="I140" s="82"/>
      <c r="J140" s="82"/>
      <c r="K140" s="82"/>
      <c r="L140" s="89"/>
      <c r="M140" s="83"/>
    </row>
    <row r="141" spans="1:13" x14ac:dyDescent="0.25">
      <c r="A141" s="115" t="str">
        <f xml:space="preserve"> IF($A137&lt;&gt;0, "Lot " &amp; VLOOKUP($A137,Liste!$A$10:$W$59,9,FALSE),"")</f>
        <v>Lot 14</v>
      </c>
      <c r="B141" s="202" t="str">
        <f>IF($A137&lt;&gt;0,VLOOKUP($A137,Liste!$A$10:$W$59,10,FALSE),"")</f>
        <v>Appart,</v>
      </c>
      <c r="C141" s="110">
        <f>IF($A137&lt;&gt;0,VLOOKUP($A137,Liste!$A$10:$W$59,11,FALSE),"")</f>
        <v>365</v>
      </c>
      <c r="F141" s="172"/>
      <c r="G141" s="82"/>
      <c r="H141" s="82"/>
      <c r="I141" s="82"/>
      <c r="J141" s="82"/>
      <c r="K141" s="82"/>
      <c r="L141" s="89"/>
      <c r="M141" s="83"/>
    </row>
    <row r="142" spans="1:13" ht="13.8" thickBot="1" x14ac:dyDescent="0.3">
      <c r="A142" s="115" t="str">
        <f>IF($A137&lt;&gt;0,"Lot " &amp; VLOOKUP($A137,Liste!$A$10:$W$59,12,FALSE),"")</f>
        <v>Lot 39</v>
      </c>
      <c r="B142" s="202" t="str">
        <f>IF($A137&lt;&gt;0,VLOOKUP($A137,Liste!$A$10:$W$59,13,FALSE),"")</f>
        <v>Cave</v>
      </c>
      <c r="C142" s="110">
        <f>IF($A137&lt;&gt;0,VLOOKUP($A137,Liste!$A$10:$W$59,14,FALSE),"")</f>
        <v>20</v>
      </c>
      <c r="D142" s="111"/>
      <c r="E142" s="116"/>
      <c r="F142" s="173"/>
      <c r="G142" s="122"/>
      <c r="H142" s="122"/>
      <c r="I142" s="122"/>
      <c r="J142" s="122"/>
      <c r="K142" s="122"/>
      <c r="L142" s="128"/>
      <c r="M142" s="83"/>
    </row>
    <row r="143" spans="1:13" x14ac:dyDescent="0.25">
      <c r="A143" s="192" t="str">
        <f>IF($A137&lt;&gt;0,"Lot " &amp; VLOOKUP($A137,Liste!$A$10:$W$59,15,FALSE),"")</f>
        <v>Lot 64</v>
      </c>
      <c r="B143" s="202" t="str">
        <f>IF($A137&lt;&gt;0,VLOOKUP($A137,Liste!$A$10:$W$59,16,FALSE),"")</f>
        <v>Parking</v>
      </c>
      <c r="C143" s="119">
        <f>IF($A137&lt;&gt;0,VLOOKUP($A137,Liste!$A$10:$W$59,17,FALSE),"")</f>
        <v>10</v>
      </c>
      <c r="D143" s="119"/>
      <c r="E143" s="125"/>
      <c r="F143" s="172"/>
      <c r="G143" s="168" t="s">
        <v>159</v>
      </c>
      <c r="H143" s="174" t="s">
        <v>160</v>
      </c>
      <c r="I143" s="84"/>
      <c r="J143" s="84"/>
      <c r="K143" s="84"/>
      <c r="L143" s="108"/>
      <c r="M143" s="83"/>
    </row>
    <row r="144" spans="1:13" x14ac:dyDescent="0.25">
      <c r="A144" s="192" t="str">
        <f>IF($A137&lt;&gt;0,"Lot " &amp; VLOOKUP($A137,Liste!$A$10:$W$59,18,FALSE),"")</f>
        <v xml:space="preserve">Lot </v>
      </c>
      <c r="B144" s="202">
        <f>IF($A137&lt;&gt;0,VLOOKUP($A137,Liste!$A$10:$W$59,19,FALSE),"")</f>
        <v>0</v>
      </c>
      <c r="C144" s="119">
        <f>IF($A137&lt;&gt;0,VLOOKUP($A137,Liste!$A$10:$W$59,20,FALSE),"")</f>
        <v>0</v>
      </c>
      <c r="F144" s="172"/>
      <c r="G144" s="169" t="s">
        <v>161</v>
      </c>
      <c r="H144" s="174" t="s">
        <v>160</v>
      </c>
      <c r="I144" s="167"/>
      <c r="J144" s="167"/>
      <c r="K144" s="167"/>
      <c r="L144" s="176"/>
      <c r="M144" s="83"/>
    </row>
    <row r="145" spans="1:13" ht="18" thickBot="1" x14ac:dyDescent="0.3">
      <c r="A145" s="193" t="str">
        <f>IF($A137&lt;&gt;0,"Lot " &amp; VLOOKUP($A137,Liste!$A$10:$W$59,21,FALSE),"")</f>
        <v xml:space="preserve">Lot </v>
      </c>
      <c r="B145" s="203">
        <f>IF($A137&lt;&gt;0,VLOOKUP($A137,Liste!$A$10:$W$59,22,FALSE),"")</f>
        <v>0</v>
      </c>
      <c r="C145" s="123">
        <f>IF($A137&lt;&gt;0,VLOOKUP($A137,Liste!$A$10:$W$59,23,FALSE),"")</f>
        <v>0</v>
      </c>
      <c r="D145" s="122"/>
      <c r="E145" s="122"/>
      <c r="F145" s="213"/>
      <c r="G145" s="226" t="str">
        <f>IF(OR(B138=0,VLOOKUP(A137,Liste!$A$10:'Liste'!$Z$59,26)&lt;&gt;""),"", "Voir autorisation messages électroniques")</f>
        <v>Voir autorisation messages électroniques</v>
      </c>
      <c r="H145" s="226"/>
      <c r="I145" s="226"/>
      <c r="J145" s="122"/>
      <c r="K145" s="122"/>
      <c r="L145" s="128"/>
      <c r="M145" s="83"/>
    </row>
    <row r="146" spans="1:13" ht="18" customHeight="1" x14ac:dyDescent="0.25">
      <c r="A146" s="120">
        <f>A137+1</f>
        <v>16</v>
      </c>
      <c r="B146" s="204"/>
      <c r="C146" s="82"/>
      <c r="D146" s="82"/>
      <c r="E146" s="82"/>
      <c r="F146" s="183"/>
      <c r="G146" s="181" t="s">
        <v>162</v>
      </c>
      <c r="H146" s="166"/>
      <c r="I146" s="166"/>
      <c r="J146" s="166"/>
      <c r="K146" s="166"/>
      <c r="L146" s="175"/>
      <c r="M146" s="83"/>
    </row>
    <row r="147" spans="1:13" ht="18" thickBot="1" x14ac:dyDescent="0.35">
      <c r="A147" s="83" t="str">
        <f>IF($A146&lt;&gt;0,VLOOKUP($A146,Liste!$A$10:$W$59,3,FALSE),"")</f>
        <v>Monsieur</v>
      </c>
      <c r="B147" s="201" t="str">
        <f>IF($A146&lt;&gt;0,VLOOKUP($A146,Liste!$A$10:$W$59,4,FALSE),"")</f>
        <v>BELARDIN Denis</v>
      </c>
      <c r="E147" s="109">
        <f>IF($A146&lt;&gt;0,VLOOKUP($A146,Liste!$A$10:$W$59,8,FALSE),"")</f>
        <v>390</v>
      </c>
      <c r="F147" s="184"/>
      <c r="G147" s="182" t="s">
        <v>158</v>
      </c>
      <c r="H147" s="106"/>
      <c r="I147" s="106"/>
      <c r="J147" s="106"/>
      <c r="K147" s="106"/>
      <c r="L147" s="26"/>
      <c r="M147" s="83"/>
    </row>
    <row r="148" spans="1:13" x14ac:dyDescent="0.25">
      <c r="A148" s="114" t="str">
        <f>IF($A146&lt;&gt;0,VLOOKUP($A146,Liste!$A$10:$W$59,5,FALSE),"")</f>
        <v>16 rue de l' espoir</v>
      </c>
      <c r="B148" s="83"/>
      <c r="F148" s="170"/>
      <c r="G148" s="171" t="s">
        <v>163</v>
      </c>
      <c r="H148" s="171"/>
      <c r="I148" s="171"/>
      <c r="J148" s="171"/>
      <c r="K148" s="171"/>
      <c r="L148" s="127"/>
      <c r="M148" s="83"/>
    </row>
    <row r="149" spans="1:13" x14ac:dyDescent="0.25">
      <c r="A149" s="114">
        <f>IF($A146&lt;&gt;0,VLOOKUP($A146,Liste!$A$10:$W$59,6,FALSE),"")</f>
        <v>75016</v>
      </c>
      <c r="B149" s="114" t="str">
        <f>IF($A146&lt;&gt;0,VLOOKUP($A146,Liste!$A$10:$W$59,7,FALSE),"")</f>
        <v xml:space="preserve">Paris </v>
      </c>
      <c r="F149" s="172"/>
      <c r="G149" s="82"/>
      <c r="H149" s="82"/>
      <c r="I149" s="82"/>
      <c r="J149" s="82"/>
      <c r="K149" s="82"/>
      <c r="L149" s="89"/>
      <c r="M149" s="83"/>
    </row>
    <row r="150" spans="1:13" x14ac:dyDescent="0.25">
      <c r="A150" s="115" t="str">
        <f xml:space="preserve"> IF($A146&lt;&gt;0, "Lot " &amp; VLOOKUP($A146,Liste!$A$10:$W$59,9,FALSE),"")</f>
        <v>Lot 15</v>
      </c>
      <c r="B150" s="202" t="str">
        <f>IF($A146&lt;&gt;0,VLOOKUP($A146,Liste!$A$10:$W$59,10,FALSE),"")</f>
        <v>Appart,</v>
      </c>
      <c r="C150" s="110">
        <f>IF($A146&lt;&gt;0,VLOOKUP($A146,Liste!$A$10:$W$59,11,FALSE),"")</f>
        <v>335</v>
      </c>
      <c r="F150" s="172"/>
      <c r="G150" s="82"/>
      <c r="H150" s="82"/>
      <c r="I150" s="82"/>
      <c r="J150" s="82"/>
      <c r="K150" s="82"/>
      <c r="L150" s="89"/>
      <c r="M150" s="83"/>
    </row>
    <row r="151" spans="1:13" ht="13.8" thickBot="1" x14ac:dyDescent="0.3">
      <c r="A151" s="115" t="str">
        <f>IF($A146&lt;&gt;0,"Lot " &amp; VLOOKUP($A146,Liste!$A$10:$W$59,12,FALSE),"")</f>
        <v>Lot 40</v>
      </c>
      <c r="B151" s="202" t="str">
        <f>IF($A146&lt;&gt;0,VLOOKUP($A146,Liste!$A$10:$W$59,13,FALSE),"")</f>
        <v>Cave</v>
      </c>
      <c r="C151" s="110">
        <f>IF($A146&lt;&gt;0,VLOOKUP($A146,Liste!$A$10:$W$59,14,FALSE),"")</f>
        <v>20</v>
      </c>
      <c r="D151" s="111"/>
      <c r="E151" s="116"/>
      <c r="F151" s="173"/>
      <c r="G151" s="122"/>
      <c r="H151" s="122"/>
      <c r="I151" s="122"/>
      <c r="J151" s="122"/>
      <c r="K151" s="122"/>
      <c r="L151" s="128"/>
      <c r="M151" s="83"/>
    </row>
    <row r="152" spans="1:13" x14ac:dyDescent="0.25">
      <c r="A152" s="192" t="str">
        <f>IF($A146&lt;&gt;0,"Lot " &amp; VLOOKUP($A146,Liste!$A$10:$W$59,15,FALSE),"")</f>
        <v>Lot 65</v>
      </c>
      <c r="B152" s="202" t="str">
        <f>IF($A146&lt;&gt;0,VLOOKUP($A146,Liste!$A$10:$W$59,16,FALSE),"")</f>
        <v>Parking</v>
      </c>
      <c r="C152" s="119">
        <f>IF($A146&lt;&gt;0,VLOOKUP($A146,Liste!$A$10:$W$59,17,FALSE),"")</f>
        <v>10</v>
      </c>
      <c r="D152" s="119"/>
      <c r="E152" s="125"/>
      <c r="F152" s="172"/>
      <c r="G152" s="168" t="s">
        <v>159</v>
      </c>
      <c r="H152" s="174" t="s">
        <v>160</v>
      </c>
      <c r="I152" s="84"/>
      <c r="J152" s="84"/>
      <c r="K152" s="84"/>
      <c r="L152" s="108"/>
      <c r="M152" s="83"/>
    </row>
    <row r="153" spans="1:13" x14ac:dyDescent="0.25">
      <c r="A153" s="192" t="str">
        <f>IF($A146&lt;&gt;0,"Lot " &amp; VLOOKUP($A146,Liste!$A$10:$W$59,18,FALSE),"")</f>
        <v xml:space="preserve">Lot </v>
      </c>
      <c r="B153" s="202">
        <f>IF($A146&lt;&gt;0,VLOOKUP($A146,Liste!$A$10:$W$59,19,FALSE),"")</f>
        <v>0</v>
      </c>
      <c r="C153" s="119">
        <f>IF($A146&lt;&gt;0,VLOOKUP($A146,Liste!$A$10:$W$59,20,FALSE),"")</f>
        <v>0</v>
      </c>
      <c r="F153" s="172"/>
      <c r="G153" s="169" t="s">
        <v>161</v>
      </c>
      <c r="H153" s="174" t="s">
        <v>160</v>
      </c>
      <c r="I153" s="167"/>
      <c r="J153" s="167"/>
      <c r="K153" s="167"/>
      <c r="L153" s="176"/>
      <c r="M153" s="83"/>
    </row>
    <row r="154" spans="1:13" ht="18" thickBot="1" x14ac:dyDescent="0.3">
      <c r="A154" s="193" t="str">
        <f>IF($A146&lt;&gt;0,"Lot " &amp; VLOOKUP($A146,Liste!$A$10:$W$59,21,FALSE),"")</f>
        <v>Lot 85</v>
      </c>
      <c r="B154" s="203" t="str">
        <f>IF($A146&lt;&gt;0,VLOOKUP($A146,Liste!$A$10:$W$59,22,FALSE),"")</f>
        <v>Box</v>
      </c>
      <c r="C154" s="123">
        <f>IF($A146&lt;&gt;0,VLOOKUP($A146,Liste!$A$10:$W$59,23,FALSE),"")</f>
        <v>25</v>
      </c>
      <c r="D154" s="122"/>
      <c r="E154" s="122"/>
      <c r="F154" s="213"/>
      <c r="G154" s="226" t="str">
        <f>IF(OR(B147=0,VLOOKUP(A146,Liste!$A$10:'Liste'!$Z$59,26)&lt;&gt;""),"", "Voir autorisation messages électroniques")</f>
        <v/>
      </c>
      <c r="H154" s="226"/>
      <c r="I154" s="226"/>
      <c r="J154" s="122"/>
      <c r="K154" s="122"/>
      <c r="L154" s="128"/>
      <c r="M154" s="83"/>
    </row>
    <row r="155" spans="1:13" x14ac:dyDescent="0.25">
      <c r="L155" s="82"/>
      <c r="M155" s="82"/>
    </row>
    <row r="156" spans="1:13" ht="17.399999999999999" x14ac:dyDescent="0.3">
      <c r="D156" s="112" t="s">
        <v>93</v>
      </c>
      <c r="E156" s="112"/>
      <c r="F156" s="112"/>
      <c r="K156" s="133" t="s">
        <v>98</v>
      </c>
      <c r="L156" s="194">
        <f>L79+1</f>
        <v>3</v>
      </c>
      <c r="M156" s="82"/>
    </row>
    <row r="157" spans="1:13" x14ac:dyDescent="0.25">
      <c r="E157" s="133"/>
      <c r="F157" s="117" t="s">
        <v>166</v>
      </c>
      <c r="G157" s="152">
        <f>IF(A160&gt;0,Liste!$C$1,"")</f>
        <v>44084</v>
      </c>
      <c r="L157" s="82"/>
      <c r="M157" s="82"/>
    </row>
    <row r="158" spans="1:13" x14ac:dyDescent="0.25">
      <c r="D158" t="str">
        <f>IF(A160&gt;0,Liste!$C$3&amp;"; "&amp;Liste!$C$4&amp;" "&amp;Liste!$C$5,"""")</f>
        <v>Résidence Le Paradis; Rue de l' espoir 75016 PARIS</v>
      </c>
      <c r="E158" s="152"/>
      <c r="F158" s="152"/>
      <c r="G158" s="152"/>
      <c r="L158" s="82"/>
      <c r="M158" s="82"/>
    </row>
    <row r="159" spans="1:13" ht="13.8" thickBot="1" x14ac:dyDescent="0.3">
      <c r="A159" s="84"/>
      <c r="B159" s="84"/>
      <c r="C159" s="84"/>
      <c r="D159" s="84"/>
      <c r="E159" s="82"/>
      <c r="F159" s="84"/>
      <c r="G159" s="84"/>
      <c r="L159" s="82"/>
      <c r="M159" s="82"/>
    </row>
    <row r="160" spans="1:13" ht="16.5" customHeight="1" x14ac:dyDescent="0.25">
      <c r="A160" s="171">
        <f>A146+1</f>
        <v>17</v>
      </c>
      <c r="B160" s="171"/>
      <c r="C160" s="171"/>
      <c r="D160" s="171"/>
      <c r="E160" s="171"/>
      <c r="F160" s="183"/>
      <c r="G160" s="181" t="s">
        <v>162</v>
      </c>
      <c r="H160" s="166"/>
      <c r="I160" s="166"/>
      <c r="J160" s="166"/>
      <c r="K160" s="166"/>
      <c r="L160" s="175"/>
      <c r="M160" s="83"/>
    </row>
    <row r="161" spans="1:13" ht="18" thickBot="1" x14ac:dyDescent="0.35">
      <c r="A161" s="82" t="str">
        <f>IF($A160&lt;&gt;0,VLOOKUP($A160,Liste!$A$10:$W$59,3,FALSE),"")</f>
        <v>Monsieur</v>
      </c>
      <c r="B161" s="207" t="str">
        <f>IF($A160&lt;&gt;0,VLOOKUP($A160,Liste!$A$10:$W$59,4,FALSE),"")</f>
        <v>BERTELOT Marcel</v>
      </c>
      <c r="C161" s="82"/>
      <c r="D161" s="82"/>
      <c r="E161" s="109">
        <f>IF($A160&lt;&gt;0,VLOOKUP($A160,Liste!$A$10:$W$59,8,FALSE),"")</f>
        <v>395</v>
      </c>
      <c r="F161" s="184"/>
      <c r="G161" s="182" t="s">
        <v>158</v>
      </c>
      <c r="H161" s="106"/>
      <c r="I161" s="106"/>
      <c r="J161" s="106"/>
      <c r="K161" s="106"/>
      <c r="L161" s="26"/>
      <c r="M161" s="83"/>
    </row>
    <row r="162" spans="1:13" x14ac:dyDescent="0.25">
      <c r="A162" s="114" t="str">
        <f>IF($A160&lt;&gt;0,VLOOKUP($A160,Liste!$A$10:$W$59,5,FALSE),"")</f>
        <v>13 rue de l' espoir</v>
      </c>
      <c r="B162" s="83"/>
      <c r="F162" s="170"/>
      <c r="G162" s="171" t="s">
        <v>163</v>
      </c>
      <c r="H162" s="171"/>
      <c r="I162" s="171"/>
      <c r="J162" s="171"/>
      <c r="K162" s="171"/>
      <c r="L162" s="127"/>
      <c r="M162" s="83"/>
    </row>
    <row r="163" spans="1:13" x14ac:dyDescent="0.25">
      <c r="A163" s="114">
        <f>IF($A160&lt;&gt;0,VLOOKUP($A160,Liste!$A$10:$W$59,6,FALSE),"")</f>
        <v>75016</v>
      </c>
      <c r="B163" s="114" t="str">
        <f>IF($A160&lt;&gt;0,VLOOKUP($A160,Liste!$A$10:$W$59,7,FALSE),"")</f>
        <v xml:space="preserve">Paris </v>
      </c>
      <c r="F163" s="172"/>
      <c r="G163" s="82"/>
      <c r="H163" s="82"/>
      <c r="I163" s="82"/>
      <c r="J163" s="82"/>
      <c r="K163" s="82"/>
      <c r="L163" s="89"/>
      <c r="M163" s="83"/>
    </row>
    <row r="164" spans="1:13" x14ac:dyDescent="0.25">
      <c r="A164" s="115" t="str">
        <f xml:space="preserve"> IF($A160&lt;&gt;0, "Lot " &amp; VLOOKUP($A160,Liste!$A$10:$W$59,9,FALSE),"")</f>
        <v>Lot 17</v>
      </c>
      <c r="B164" s="202" t="str">
        <f>IF($A160&lt;&gt;0,VLOOKUP($A160,Liste!$A$10:$W$59,10,FALSE),"")</f>
        <v>Appart,</v>
      </c>
      <c r="C164" s="110">
        <f>IF($A160&lt;&gt;0,VLOOKUP($A160,Liste!$A$10:$W$59,11,FALSE),"")</f>
        <v>365</v>
      </c>
      <c r="F164" s="172"/>
      <c r="G164" s="82"/>
      <c r="H164" s="82"/>
      <c r="I164" s="82"/>
      <c r="J164" s="82"/>
      <c r="K164" s="82"/>
      <c r="L164" s="89"/>
      <c r="M164" s="83"/>
    </row>
    <row r="165" spans="1:13" ht="13.8" thickBot="1" x14ac:dyDescent="0.3">
      <c r="A165" s="115" t="str">
        <f>IF($A160&lt;&gt;0,"Lot " &amp; VLOOKUP($A160,Liste!$A$10:$W$59,12,FALSE),"")</f>
        <v>Lot 42</v>
      </c>
      <c r="B165" s="202" t="str">
        <f>IF($A160&lt;&gt;0,VLOOKUP($A160,Liste!$A$10:$W$59,13,FALSE),"")</f>
        <v>Cave</v>
      </c>
      <c r="C165" s="110">
        <f>IF($A160&lt;&gt;0,VLOOKUP($A160,Liste!$A$10:$W$59,14,FALSE),"")</f>
        <v>20</v>
      </c>
      <c r="D165" s="111"/>
      <c r="E165" s="116"/>
      <c r="F165" s="173"/>
      <c r="G165" s="122"/>
      <c r="H165" s="122"/>
      <c r="I165" s="122"/>
      <c r="J165" s="122"/>
      <c r="K165" s="122"/>
      <c r="L165" s="128"/>
      <c r="M165" s="83"/>
    </row>
    <row r="166" spans="1:13" x14ac:dyDescent="0.25">
      <c r="A166" s="192" t="str">
        <f>IF($A160&lt;&gt;0,"Lot " &amp; VLOOKUP($A160,Liste!$A$10:$W$59,15,FALSE),"")</f>
        <v>Lot 67</v>
      </c>
      <c r="B166" s="202" t="str">
        <f>IF($A160&lt;&gt;0,VLOOKUP($A160,Liste!$A$10:$W$59,16,FALSE),"")</f>
        <v>Parking</v>
      </c>
      <c r="C166" s="119">
        <f>IF($A160&lt;&gt;0,VLOOKUP($A160,Liste!$A$10:$W$59,17,FALSE),"")</f>
        <v>10</v>
      </c>
      <c r="D166" s="119"/>
      <c r="E166" s="125"/>
      <c r="F166" s="172"/>
      <c r="G166" s="168" t="s">
        <v>159</v>
      </c>
      <c r="H166" s="174" t="s">
        <v>160</v>
      </c>
      <c r="I166" s="84"/>
      <c r="J166" s="84"/>
      <c r="K166" s="84"/>
      <c r="L166" s="108"/>
      <c r="M166" s="83"/>
    </row>
    <row r="167" spans="1:13" x14ac:dyDescent="0.25">
      <c r="A167" s="192" t="str">
        <f>IF($A160&lt;&gt;0,"Lot " &amp; VLOOKUP($A160,Liste!$A$10:$W$59,18,FALSE),"")</f>
        <v xml:space="preserve">Lot </v>
      </c>
      <c r="B167" s="202">
        <f>IF($A160&lt;&gt;0,VLOOKUP($A160,Liste!$A$10:$W$59,19,FALSE),"")</f>
        <v>0</v>
      </c>
      <c r="C167" s="119">
        <f>IF($A160&lt;&gt;0,VLOOKUP($A160,Liste!$A$10:$W$59,19,FALSE),"")</f>
        <v>0</v>
      </c>
      <c r="F167" s="172"/>
      <c r="G167" s="169" t="s">
        <v>161</v>
      </c>
      <c r="H167" s="174" t="s">
        <v>160</v>
      </c>
      <c r="I167" s="167"/>
      <c r="J167" s="167"/>
      <c r="K167" s="167"/>
      <c r="L167" s="176"/>
      <c r="M167" s="83"/>
    </row>
    <row r="168" spans="1:13" ht="18" thickBot="1" x14ac:dyDescent="0.3">
      <c r="A168" s="193" t="str">
        <f>IF($A160&lt;&gt;0,"Lot " &amp; VLOOKUP($A160,Liste!$A$10:$W$59,21,FALSE),"")</f>
        <v xml:space="preserve">Lot </v>
      </c>
      <c r="B168" s="203">
        <f>IF($A160&lt;&gt;0,VLOOKUP($A160,Liste!$A$10:$W$59,22,FALSE),"")</f>
        <v>0</v>
      </c>
      <c r="C168" s="123">
        <f>IF($A160&lt;&gt;0,VLOOKUP($A160,Liste!$A$10:$W$59,23,FALSE),"")</f>
        <v>0</v>
      </c>
      <c r="D168" s="122"/>
      <c r="E168" s="122"/>
      <c r="F168" s="213"/>
      <c r="G168" s="226" t="str">
        <f>IF(OR(B161=0,VLOOKUP(A160,Liste!$A$10:'Liste'!$Z$59,26)&lt;&gt;""),"", "Voir autorisation messages électroniques")</f>
        <v>Voir autorisation messages électroniques</v>
      </c>
      <c r="H168" s="226"/>
      <c r="I168" s="226"/>
      <c r="J168" s="122"/>
      <c r="K168" s="122"/>
      <c r="L168" s="128"/>
      <c r="M168" s="83"/>
    </row>
    <row r="169" spans="1:13" ht="19.5" customHeight="1" x14ac:dyDescent="0.25">
      <c r="A169" s="120">
        <f>A160+1</f>
        <v>18</v>
      </c>
      <c r="B169" s="204"/>
      <c r="C169" s="82"/>
      <c r="D169" s="82"/>
      <c r="E169" s="82"/>
      <c r="F169" s="183"/>
      <c r="G169" s="181" t="s">
        <v>162</v>
      </c>
      <c r="H169" s="166"/>
      <c r="I169" s="166"/>
      <c r="J169" s="166"/>
      <c r="K169" s="166"/>
      <c r="L169" s="175"/>
      <c r="M169" s="83"/>
    </row>
    <row r="170" spans="1:13" ht="18" thickBot="1" x14ac:dyDescent="0.35">
      <c r="A170" s="83" t="str">
        <f>IF($A169&lt;&gt;0,VLOOKUP($A169,Liste!$A$10:$W$59,3,FALSE),"")</f>
        <v>Madame</v>
      </c>
      <c r="B170" s="201" t="str">
        <f>IF($A169&lt;&gt;0,VLOOKUP($A169,Liste!$A$10:$W$59,4,FALSE),"")</f>
        <v>BESARDINI Luciennne</v>
      </c>
      <c r="E170" s="109">
        <f>IF($A169&lt;&gt;0,VLOOKUP($A169,Liste!$A$10:$W$59,8,FALSE),"")</f>
        <v>415</v>
      </c>
      <c r="F170" s="184"/>
      <c r="G170" s="182" t="s">
        <v>158</v>
      </c>
      <c r="H170" s="106"/>
      <c r="I170" s="106"/>
      <c r="J170" s="106"/>
      <c r="K170" s="106"/>
      <c r="L170" s="26"/>
      <c r="M170" s="83"/>
    </row>
    <row r="171" spans="1:13" x14ac:dyDescent="0.25">
      <c r="A171" s="114" t="str">
        <f>IF($A169&lt;&gt;0,VLOOKUP($A169,Liste!$A$10:$W$59,5,FALSE),"")</f>
        <v>14 rue de l' espoir</v>
      </c>
      <c r="B171" s="83"/>
      <c r="F171" s="170"/>
      <c r="G171" s="171" t="s">
        <v>163</v>
      </c>
      <c r="H171" s="171"/>
      <c r="I171" s="171"/>
      <c r="J171" s="171"/>
      <c r="K171" s="171"/>
      <c r="L171" s="127"/>
      <c r="M171" s="83"/>
    </row>
    <row r="172" spans="1:13" x14ac:dyDescent="0.25">
      <c r="A172" s="114">
        <f>IF($A169&lt;&gt;0,VLOOKUP($A169,Liste!$A$10:$W$59,6,FALSE),"")</f>
        <v>75016</v>
      </c>
      <c r="B172" s="114" t="str">
        <f>IF($A169&lt;&gt;0,VLOOKUP($A169,Liste!$A$10:$W$59,7,FALSE),"")</f>
        <v xml:space="preserve">Paris </v>
      </c>
      <c r="F172" s="172"/>
      <c r="G172" s="82"/>
      <c r="H172" s="82"/>
      <c r="I172" s="82"/>
      <c r="J172" s="82"/>
      <c r="K172" s="82"/>
      <c r="L172" s="89"/>
      <c r="M172" s="83"/>
    </row>
    <row r="173" spans="1:13" x14ac:dyDescent="0.25">
      <c r="A173" s="115" t="str">
        <f xml:space="preserve"> IF($A169&lt;&gt;0, "Lot " &amp; VLOOKUP($A169,Liste!$A$10:$W$59,9,FALSE),"")</f>
        <v>Lot 18</v>
      </c>
      <c r="B173" s="202" t="str">
        <f>IF($A169&lt;&gt;0,VLOOKUP($A169,Liste!$A$10:$W$59,10,FALSE),"")</f>
        <v>Appart,</v>
      </c>
      <c r="C173" s="110">
        <f>IF($A169&lt;&gt;0,VLOOKUP($A169,Liste!$A$10:$W$59,11,FALSE),"")</f>
        <v>385</v>
      </c>
      <c r="F173" s="172"/>
      <c r="G173" s="82"/>
      <c r="H173" s="82"/>
      <c r="I173" s="82"/>
      <c r="J173" s="82"/>
      <c r="K173" s="82"/>
      <c r="L173" s="89"/>
      <c r="M173" s="83"/>
    </row>
    <row r="174" spans="1:13" ht="13.8" thickBot="1" x14ac:dyDescent="0.3">
      <c r="A174" s="115" t="str">
        <f>IF($A169&lt;&gt;0,"Lot " &amp; VLOOKUP($A169,Liste!$A$10:$W$59,12,FALSE),"")</f>
        <v>Lot 43</v>
      </c>
      <c r="B174" s="202" t="str">
        <f>IF($A169&lt;&gt;0,VLOOKUP($A169,Liste!$A$10:$W$59,13,FALSE),"")</f>
        <v>Cave</v>
      </c>
      <c r="C174" s="110">
        <f>IF($A169&lt;&gt;0,VLOOKUP($A169,Liste!$A$10:$W$59,14,FALSE),"")</f>
        <v>20</v>
      </c>
      <c r="D174" s="111"/>
      <c r="E174" s="116"/>
      <c r="F174" s="173"/>
      <c r="G174" s="122"/>
      <c r="H174" s="122"/>
      <c r="I174" s="122"/>
      <c r="J174" s="122"/>
      <c r="K174" s="122"/>
      <c r="L174" s="128"/>
      <c r="M174" s="83"/>
    </row>
    <row r="175" spans="1:13" x14ac:dyDescent="0.25">
      <c r="A175" s="192" t="str">
        <f>IF($A169&lt;&gt;0,"Lot " &amp; VLOOKUP($A169,Liste!$A$10:$W$59,15,FALSE),"")</f>
        <v>Lot 68</v>
      </c>
      <c r="B175" s="202" t="str">
        <f>IF($A169&lt;&gt;0,VLOOKUP($A169,Liste!$A$10:$W$59,16,FALSE),"")</f>
        <v>Parking</v>
      </c>
      <c r="C175" s="119">
        <f>IF($A169&lt;&gt;0,VLOOKUP($A169,Liste!$A$10:$W$59,17,FALSE),"")</f>
        <v>10</v>
      </c>
      <c r="D175" s="119"/>
      <c r="E175" s="125"/>
      <c r="F175" s="172"/>
      <c r="G175" s="168" t="s">
        <v>159</v>
      </c>
      <c r="H175" s="174" t="s">
        <v>160</v>
      </c>
      <c r="I175" s="84"/>
      <c r="J175" s="84"/>
      <c r="K175" s="84"/>
      <c r="L175" s="108"/>
      <c r="M175" s="83"/>
    </row>
    <row r="176" spans="1:13" x14ac:dyDescent="0.25">
      <c r="A176" s="192" t="str">
        <f>IF($A169&lt;&gt;0,"Lot " &amp; VLOOKUP($A169,Liste!$A$10:$W$59,18,FALSE),"")</f>
        <v xml:space="preserve">Lot </v>
      </c>
      <c r="B176" s="202">
        <f>IF($A169&lt;&gt;0,VLOOKUP($A169,Liste!$A$10:$W$59,19,FALSE),"")</f>
        <v>0</v>
      </c>
      <c r="C176" s="119">
        <f>IF($A169&lt;&gt;0,VLOOKUP($A169,Liste!$A$10:$W$59,20,FALSE),"")</f>
        <v>0</v>
      </c>
      <c r="F176" s="172"/>
      <c r="G176" s="169" t="s">
        <v>161</v>
      </c>
      <c r="H176" s="174" t="s">
        <v>160</v>
      </c>
      <c r="I176" s="167"/>
      <c r="J176" s="167"/>
      <c r="K176" s="167"/>
      <c r="L176" s="176"/>
      <c r="M176" s="83"/>
    </row>
    <row r="177" spans="1:13" ht="18" thickBot="1" x14ac:dyDescent="0.3">
      <c r="A177" s="193" t="str">
        <f>IF($A169&lt;&gt;0,"Lot " &amp; VLOOKUP($A169,Liste!$A$10:$W$59,21,FALSE),"")</f>
        <v xml:space="preserve">Lot </v>
      </c>
      <c r="B177" s="203">
        <f>IF($A169&lt;&gt;0,VLOOKUP($A169,Liste!$A$10:$W$59,22,FALSE),"")</f>
        <v>0</v>
      </c>
      <c r="C177" s="123">
        <f>IF($A169&lt;&gt;0,VLOOKUP($A169,Liste!$A$10:$W$59,23,FALSE),"")</f>
        <v>0</v>
      </c>
      <c r="D177" s="122"/>
      <c r="E177" s="122"/>
      <c r="F177" s="213"/>
      <c r="G177" s="226" t="str">
        <f>IF(OR(B170=0,VLOOKUP(A169,Liste!$A$10:'Liste'!$Z$59,26)&lt;&gt;""),"", "Voir autorisation messages électroniques")</f>
        <v>Voir autorisation messages électroniques</v>
      </c>
      <c r="H177" s="226"/>
      <c r="I177" s="226"/>
      <c r="J177" s="122"/>
      <c r="K177" s="122"/>
      <c r="L177" s="128"/>
      <c r="M177" s="83"/>
    </row>
    <row r="178" spans="1:13" ht="18.75" customHeight="1" x14ac:dyDescent="0.25">
      <c r="A178" s="120">
        <f>A169+1</f>
        <v>19</v>
      </c>
      <c r="B178" s="204"/>
      <c r="C178" s="82"/>
      <c r="D178" s="82"/>
      <c r="E178" s="82"/>
      <c r="F178" s="183"/>
      <c r="G178" s="181" t="s">
        <v>162</v>
      </c>
      <c r="H178" s="166"/>
      <c r="I178" s="166"/>
      <c r="J178" s="166"/>
      <c r="K178" s="166"/>
      <c r="L178" s="175"/>
      <c r="M178" s="83"/>
    </row>
    <row r="179" spans="1:13" ht="18" thickBot="1" x14ac:dyDescent="0.35">
      <c r="A179" s="83" t="str">
        <f>IF($A178&lt;&gt;0,VLOOKUP($A178,Liste!$A$10:$W$59,3,FALSE),"")</f>
        <v>Monsieur</v>
      </c>
      <c r="B179" s="201" t="str">
        <f>IF($A178&lt;&gt;0,VLOOKUP($A178,Liste!$A$10:$W$59,4,FALSE),"")</f>
        <v>BICHEMONT Paul</v>
      </c>
      <c r="E179" s="109">
        <f>IF($A178&lt;&gt;0,VLOOKUP($A178,Liste!$A$10:$W$59,8,FALSE),"")</f>
        <v>480</v>
      </c>
      <c r="F179" s="184"/>
      <c r="G179" s="182" t="s">
        <v>158</v>
      </c>
      <c r="H179" s="106"/>
      <c r="I179" s="106"/>
      <c r="J179" s="106"/>
      <c r="K179" s="106"/>
      <c r="L179" s="26"/>
      <c r="M179" s="83"/>
    </row>
    <row r="180" spans="1:13" x14ac:dyDescent="0.25">
      <c r="A180" s="114" t="str">
        <f>IF($A178&lt;&gt;0,VLOOKUP($A178,Liste!$A$10:$W$59,5,FALSE),"")</f>
        <v>16 rue de l' espoir</v>
      </c>
      <c r="B180" s="83"/>
      <c r="F180" s="170"/>
      <c r="G180" s="171" t="s">
        <v>163</v>
      </c>
      <c r="H180" s="171"/>
      <c r="I180" s="171"/>
      <c r="J180" s="171"/>
      <c r="K180" s="171"/>
      <c r="L180" s="127"/>
      <c r="M180" s="83"/>
    </row>
    <row r="181" spans="1:13" x14ac:dyDescent="0.25">
      <c r="A181" s="114">
        <f>IF($A178&lt;&gt;0,VLOOKUP($A178,Liste!$A$10:$W$59,6,FALSE),"")</f>
        <v>75016</v>
      </c>
      <c r="B181" s="114" t="str">
        <f>IF($A178&lt;&gt;0,VLOOKUP($A178,Liste!$A$10:$W$59,7,FALSE),"")</f>
        <v xml:space="preserve">Paris </v>
      </c>
      <c r="F181" s="172"/>
      <c r="G181" s="82"/>
      <c r="H181" s="82"/>
      <c r="I181" s="82"/>
      <c r="J181" s="82"/>
      <c r="K181" s="82"/>
      <c r="L181" s="89"/>
      <c r="M181" s="83"/>
    </row>
    <row r="182" spans="1:13" x14ac:dyDescent="0.25">
      <c r="A182" s="115" t="str">
        <f xml:space="preserve"> IF($A178&lt;&gt;0, "Lot " &amp; VLOOKUP($A178,Liste!$A$10:$W$59,9,FALSE),"")</f>
        <v>Lot 20</v>
      </c>
      <c r="B182" s="202" t="str">
        <f>IF($A178&lt;&gt;0,VLOOKUP($A178,Liste!$A$10:$W$59,10,FALSE),"")</f>
        <v>Appart,</v>
      </c>
      <c r="C182" s="110">
        <f>IF($A178&lt;&gt;0,VLOOKUP($A178,Liste!$A$10:$W$59,11,FALSE),"")</f>
        <v>425</v>
      </c>
      <c r="F182" s="172"/>
      <c r="G182" s="82"/>
      <c r="H182" s="82"/>
      <c r="I182" s="82"/>
      <c r="J182" s="82"/>
      <c r="K182" s="82"/>
      <c r="L182" s="89"/>
      <c r="M182" s="83"/>
    </row>
    <row r="183" spans="1:13" ht="13.8" thickBot="1" x14ac:dyDescent="0.3">
      <c r="A183" s="115" t="str">
        <f>IF($A178&lt;&gt;0,"Lot " &amp; VLOOKUP($A178,Liste!$A$10:$W$59,12,FALSE),"")</f>
        <v>Lot 45</v>
      </c>
      <c r="B183" s="202" t="str">
        <f>IF($A178&lt;&gt;0,VLOOKUP($A178,Liste!$A$10:$W$59,13,FALSE),"")</f>
        <v>Cave</v>
      </c>
      <c r="C183" s="110">
        <f>IF($A178&lt;&gt;0,VLOOKUP($A178,Liste!$A$10:$W$59,14,FALSE),"")</f>
        <v>20</v>
      </c>
      <c r="D183" s="111"/>
      <c r="E183" s="116"/>
      <c r="F183" s="173"/>
      <c r="G183" s="122"/>
      <c r="H183" s="122"/>
      <c r="I183" s="122"/>
      <c r="J183" s="122"/>
      <c r="K183" s="122"/>
      <c r="L183" s="128"/>
      <c r="M183" s="83"/>
    </row>
    <row r="184" spans="1:13" x14ac:dyDescent="0.25">
      <c r="A184" s="192" t="str">
        <f>IF($A178&lt;&gt;0,"Lot " &amp; VLOOKUP($A178,Liste!$A$10:$W$59,15,FALSE),"")</f>
        <v>Lot 70</v>
      </c>
      <c r="B184" s="202" t="str">
        <f>IF($A178&lt;&gt;0,VLOOKUP($A178,Liste!$A$10:$W$59,16,FALSE),"")</f>
        <v>Parking</v>
      </c>
      <c r="C184" s="119">
        <f>IF($A178&lt;&gt;0,VLOOKUP($A178,Liste!$A$10:$W$59,17,FALSE),"")</f>
        <v>10</v>
      </c>
      <c r="D184" s="119"/>
      <c r="E184" s="125"/>
      <c r="F184" s="172"/>
      <c r="G184" s="168" t="s">
        <v>159</v>
      </c>
      <c r="H184" s="174" t="s">
        <v>160</v>
      </c>
      <c r="I184" s="84"/>
      <c r="J184" s="84"/>
      <c r="K184" s="84"/>
      <c r="L184" s="108"/>
      <c r="M184" s="83"/>
    </row>
    <row r="185" spans="1:13" x14ac:dyDescent="0.25">
      <c r="A185" s="192" t="str">
        <f>IF($A178&lt;&gt;0,"Lot " &amp; VLOOKUP($A178,Liste!$A$10:$W$59,18,FALSE),"")</f>
        <v xml:space="preserve">Lot </v>
      </c>
      <c r="B185" s="202">
        <f>IF($A178&lt;&gt;0,VLOOKUP($A178,Liste!$A$10:$W$59,19,FALSE),"")</f>
        <v>0</v>
      </c>
      <c r="C185" s="119">
        <f>IF($A178&lt;&gt;0,VLOOKUP($A178,Liste!$A$10:$W$59,20,FALSE),"")</f>
        <v>0</v>
      </c>
      <c r="F185" s="172"/>
      <c r="G185" s="169" t="s">
        <v>161</v>
      </c>
      <c r="H185" s="174" t="s">
        <v>160</v>
      </c>
      <c r="I185" s="167"/>
      <c r="J185" s="167"/>
      <c r="K185" s="167"/>
      <c r="L185" s="176"/>
      <c r="M185" s="83"/>
    </row>
    <row r="186" spans="1:13" ht="18" thickBot="1" x14ac:dyDescent="0.3">
      <c r="A186" s="193" t="str">
        <f>IF($A178&lt;&gt;0,"Lot " &amp; VLOOKUP($A178,Liste!$A$10:$W$59,21,FALSE),"")</f>
        <v>Lot 87</v>
      </c>
      <c r="B186" s="203" t="str">
        <f>IF($A178&lt;&gt;0,VLOOKUP($A178,Liste!$A$10:$W$59,22,FALSE),"")</f>
        <v>Box</v>
      </c>
      <c r="C186" s="123">
        <f>IF($A178&lt;&gt;0,VLOOKUP($A178,Liste!$A$10:$W$59,23,FALSE),"")</f>
        <v>25</v>
      </c>
      <c r="D186" s="122"/>
      <c r="E186" s="122"/>
      <c r="F186" s="213"/>
      <c r="G186" s="226" t="str">
        <f>IF(OR(B179=0,VLOOKUP(A178,Liste!$A$10:'Liste'!$Z$59,26)&lt;&gt;""),"", "Voir autorisation messages électroniques")</f>
        <v/>
      </c>
      <c r="H186" s="226"/>
      <c r="I186" s="226"/>
      <c r="J186" s="122"/>
      <c r="K186" s="122"/>
      <c r="L186" s="128"/>
      <c r="M186" s="83"/>
    </row>
    <row r="187" spans="1:13" ht="18" customHeight="1" x14ac:dyDescent="0.25">
      <c r="A187" s="120">
        <f>A178+1</f>
        <v>20</v>
      </c>
      <c r="B187" s="204"/>
      <c r="C187" s="82"/>
      <c r="D187" s="82"/>
      <c r="E187" s="82"/>
      <c r="F187" s="183"/>
      <c r="G187" s="181" t="s">
        <v>162</v>
      </c>
      <c r="H187" s="166"/>
      <c r="I187" s="166"/>
      <c r="J187" s="166"/>
      <c r="K187" s="166"/>
      <c r="L187" s="175"/>
      <c r="M187" s="83"/>
    </row>
    <row r="188" spans="1:13" ht="18" thickBot="1" x14ac:dyDescent="0.35">
      <c r="A188" s="83" t="str">
        <f>IF($A187&lt;&gt;0,VLOOKUP($A187,Liste!$A$10:$W$59,3,FALSE),"")</f>
        <v>Monsieur</v>
      </c>
      <c r="B188" s="201" t="str">
        <f>IF($A187&lt;&gt;0,VLOOKUP($A187,Liste!$A$10:$W$59,4,FALSE),"")</f>
        <v>CARTON Louis</v>
      </c>
      <c r="E188" s="109">
        <f>IF($A187&lt;&gt;0,VLOOKUP($A187,Liste!$A$10:$W$59,8,FALSE),"")</f>
        <v>445</v>
      </c>
      <c r="F188" s="184"/>
      <c r="G188" s="182" t="s">
        <v>158</v>
      </c>
      <c r="H188" s="106"/>
      <c r="I188" s="106"/>
      <c r="J188" s="106"/>
      <c r="K188" s="106"/>
      <c r="L188" s="26"/>
      <c r="M188" s="83"/>
    </row>
    <row r="189" spans="1:13" x14ac:dyDescent="0.25">
      <c r="A189" s="114" t="str">
        <f>IF($A187&lt;&gt;0,VLOOKUP($A187,Liste!$A$10:$W$59,5,FALSE),"")</f>
        <v>33 rue de l' Avenir</v>
      </c>
      <c r="B189" s="83"/>
      <c r="F189" s="170"/>
      <c r="G189" s="171" t="s">
        <v>163</v>
      </c>
      <c r="H189" s="171"/>
      <c r="I189" s="171"/>
      <c r="J189" s="171"/>
      <c r="K189" s="171"/>
      <c r="L189" s="127"/>
      <c r="M189" s="83"/>
    </row>
    <row r="190" spans="1:13" x14ac:dyDescent="0.25">
      <c r="A190" s="114">
        <f>IF($A187&lt;&gt;0,VLOOKUP($A187,Liste!$A$10:$W$59,6,FALSE),"")</f>
        <v>75016</v>
      </c>
      <c r="B190" s="114" t="str">
        <f>IF($A187&lt;&gt;0,VLOOKUP($A187,Liste!$A$10:$W$59,7,FALSE),"")</f>
        <v xml:space="preserve">Paris </v>
      </c>
      <c r="F190" s="172"/>
      <c r="G190" s="82"/>
      <c r="H190" s="82"/>
      <c r="I190" s="82"/>
      <c r="J190" s="82"/>
      <c r="K190" s="82"/>
      <c r="L190" s="89"/>
      <c r="M190" s="83"/>
    </row>
    <row r="191" spans="1:13" x14ac:dyDescent="0.25">
      <c r="A191" s="115" t="str">
        <f xml:space="preserve"> IF($A187&lt;&gt;0, "Lot " &amp; VLOOKUP($A187,Liste!$A$10:$W$59,9,FALSE),"")</f>
        <v>Lot 21</v>
      </c>
      <c r="B191" s="202" t="str">
        <f>IF($A187&lt;&gt;0,VLOOKUP($A187,Liste!$A$10:$W$59,10,FALSE),"")</f>
        <v>Appart,</v>
      </c>
      <c r="C191" s="110">
        <f>IF($A187&lt;&gt;0,VLOOKUP($A187,Liste!$A$10:$W$59,11,FALSE),"")</f>
        <v>415</v>
      </c>
      <c r="F191" s="172"/>
      <c r="G191" s="82"/>
      <c r="H191" s="82"/>
      <c r="I191" s="82"/>
      <c r="J191" s="82"/>
      <c r="K191" s="82"/>
      <c r="L191" s="89"/>
      <c r="M191" s="83"/>
    </row>
    <row r="192" spans="1:13" ht="13.8" thickBot="1" x14ac:dyDescent="0.3">
      <c r="A192" s="115" t="str">
        <f>IF($A187&lt;&gt;0,"Lot " &amp; VLOOKUP($A187,Liste!$A$10:$W$59,12,FALSE),"")</f>
        <v>Lot 46</v>
      </c>
      <c r="B192" s="202" t="str">
        <f>IF($A187&lt;&gt;0,VLOOKUP($A187,Liste!$A$10:$W$59,13,FALSE),"")</f>
        <v>Cave</v>
      </c>
      <c r="C192" s="110">
        <f>IF($A187&lt;&gt;0,VLOOKUP($A187,Liste!$A$10:$W$59,14,FALSE),"")</f>
        <v>20</v>
      </c>
      <c r="D192" s="111"/>
      <c r="E192" s="116"/>
      <c r="F192" s="173"/>
      <c r="G192" s="122"/>
      <c r="H192" s="122"/>
      <c r="I192" s="122"/>
      <c r="J192" s="122"/>
      <c r="K192" s="122"/>
      <c r="L192" s="128"/>
      <c r="M192" s="83"/>
    </row>
    <row r="193" spans="1:13" x14ac:dyDescent="0.25">
      <c r="A193" s="192" t="str">
        <f>IF($A187&lt;&gt;0,"Lot " &amp; VLOOKUP($A187,Liste!$A$10:$W$59,15,FALSE),"")</f>
        <v>Lot 71</v>
      </c>
      <c r="B193" s="202" t="str">
        <f>IF($A187&lt;&gt;0,VLOOKUP($A187,Liste!$A$10:$W$59,16,FALSE),"")</f>
        <v>Parking</v>
      </c>
      <c r="C193" s="119">
        <f>IF($A187&lt;&gt;0,VLOOKUP($A187,Liste!$A$10:$W$59,17,FALSE),"")</f>
        <v>10</v>
      </c>
      <c r="D193" s="119"/>
      <c r="E193" s="125"/>
      <c r="F193" s="172"/>
      <c r="G193" s="168" t="s">
        <v>159</v>
      </c>
      <c r="H193" s="174" t="s">
        <v>160</v>
      </c>
      <c r="I193" s="84"/>
      <c r="J193" s="84"/>
      <c r="K193" s="84"/>
      <c r="L193" s="108"/>
      <c r="M193" s="83"/>
    </row>
    <row r="194" spans="1:13" x14ac:dyDescent="0.25">
      <c r="A194" s="192" t="str">
        <f>IF($A187&lt;&gt;0,"Lot " &amp; VLOOKUP($A187,Liste!$A$10:$W$59,18,FALSE),"")</f>
        <v xml:space="preserve">Lot </v>
      </c>
      <c r="B194" s="202">
        <f>IF($A187&lt;&gt;0,VLOOKUP($A187,Liste!$A$10:$W$59,19,FALSE),"")</f>
        <v>0</v>
      </c>
      <c r="C194" s="119">
        <f>IF($A187&lt;&gt;0,VLOOKUP($A187,Liste!$A$10:$W$59,20,FALSE),"")</f>
        <v>0</v>
      </c>
      <c r="F194" s="172"/>
      <c r="G194" s="169" t="s">
        <v>161</v>
      </c>
      <c r="H194" s="174" t="s">
        <v>160</v>
      </c>
      <c r="I194" s="167"/>
      <c r="J194" s="167"/>
      <c r="K194" s="167"/>
      <c r="L194" s="176"/>
      <c r="M194" s="83"/>
    </row>
    <row r="195" spans="1:13" ht="18" thickBot="1" x14ac:dyDescent="0.3">
      <c r="A195" s="193" t="str">
        <f>IF($A187&lt;&gt;0,"Lot " &amp; VLOOKUP($A187,Liste!$A$10:$W$59,21,FALSE),"")</f>
        <v xml:space="preserve">Lot </v>
      </c>
      <c r="B195" s="203">
        <f>IF($A187&lt;&gt;0,VLOOKUP($A187,Liste!$A$10:$W$59,22,FALSE),"")</f>
        <v>0</v>
      </c>
      <c r="C195" s="123">
        <f>IF($A187&lt;&gt;0,VLOOKUP($A187,Liste!$A$10:$W$59,23,FALSE),"")</f>
        <v>0</v>
      </c>
      <c r="D195" s="122"/>
      <c r="E195" s="122"/>
      <c r="F195" s="213"/>
      <c r="G195" s="226" t="str">
        <f>IF(OR(B188=0,VLOOKUP(A187,Liste!$A$10:'Liste'!$Z$59,26)&lt;&gt;""),"", "Voir autorisation messages électroniques")</f>
        <v/>
      </c>
      <c r="H195" s="226"/>
      <c r="I195" s="226"/>
      <c r="J195" s="122"/>
      <c r="K195" s="122"/>
      <c r="L195" s="128"/>
      <c r="M195" s="83"/>
    </row>
    <row r="196" spans="1:13" ht="17.25" customHeight="1" x14ac:dyDescent="0.25">
      <c r="A196" s="120">
        <f>A187+1</f>
        <v>21</v>
      </c>
      <c r="B196" s="204"/>
      <c r="C196" s="82"/>
      <c r="D196" s="82"/>
      <c r="E196" s="82"/>
      <c r="F196" s="183"/>
      <c r="G196" s="181" t="s">
        <v>162</v>
      </c>
      <c r="H196" s="166"/>
      <c r="I196" s="166"/>
      <c r="J196" s="166"/>
      <c r="K196" s="166"/>
      <c r="L196" s="175"/>
      <c r="M196" s="83"/>
    </row>
    <row r="197" spans="1:13" ht="18" thickBot="1" x14ac:dyDescent="0.35">
      <c r="A197" s="83" t="str">
        <f>IF($A196&lt;&gt;0,VLOOKUP($A196,Liste!$A$10:$W$59,3,FALSE),"")</f>
        <v>Mr  et Mme</v>
      </c>
      <c r="B197" s="201" t="str">
        <f>IF($A196&lt;&gt;0,VLOOKUP($A196,Liste!$A$10:$W$59,4,FALSE),"")</f>
        <v>DAGUILLON Jean-Pierre</v>
      </c>
      <c r="E197" s="109">
        <f>IF($A196&lt;&gt;0,VLOOKUP($A196,Liste!$A$10:$W$59,8,FALSE),"")</f>
        <v>400</v>
      </c>
      <c r="F197" s="184"/>
      <c r="G197" s="182" t="s">
        <v>158</v>
      </c>
      <c r="H197" s="106"/>
      <c r="I197" s="106"/>
      <c r="J197" s="106"/>
      <c r="K197" s="106"/>
      <c r="L197" s="26"/>
      <c r="M197" s="83"/>
    </row>
    <row r="198" spans="1:13" x14ac:dyDescent="0.25">
      <c r="A198" s="114" t="str">
        <f>IF($A196&lt;&gt;0,VLOOKUP($A196,Liste!$A$10:$W$59,5,FALSE),"")</f>
        <v>13 rue du n,Paradis</v>
      </c>
      <c r="B198" s="83"/>
      <c r="F198" s="170"/>
      <c r="G198" s="171" t="s">
        <v>163</v>
      </c>
      <c r="H198" s="171"/>
      <c r="I198" s="171"/>
      <c r="J198" s="171"/>
      <c r="K198" s="171"/>
      <c r="L198" s="127"/>
      <c r="M198" s="83"/>
    </row>
    <row r="199" spans="1:13" x14ac:dyDescent="0.25">
      <c r="A199" s="114">
        <f>IF($A196&lt;&gt;0,VLOOKUP($A196,Liste!$A$10:$W$59,6,FALSE),"")</f>
        <v>75016</v>
      </c>
      <c r="B199" s="114" t="str">
        <f>IF($A196&lt;&gt;0,VLOOKUP($A196,Liste!$A$10:$W$59,7,FALSE),"")</f>
        <v xml:space="preserve">Paris </v>
      </c>
      <c r="F199" s="172"/>
      <c r="G199" s="82"/>
      <c r="H199" s="82"/>
      <c r="I199" s="82"/>
      <c r="J199" s="82"/>
      <c r="K199" s="82"/>
      <c r="L199" s="89"/>
      <c r="M199" s="83"/>
    </row>
    <row r="200" spans="1:13" x14ac:dyDescent="0.25">
      <c r="A200" s="115" t="str">
        <f xml:space="preserve"> IF($A196&lt;&gt;0, "Lot " &amp; VLOOKUP($A196,Liste!$A$10:$W$59,9,FALSE),"")</f>
        <v>Lot 22</v>
      </c>
      <c r="B200" s="202" t="str">
        <f>IF($A196&lt;&gt;0,VLOOKUP($A196,Liste!$A$10:$W$59,10,FALSE),"")</f>
        <v>Appart,</v>
      </c>
      <c r="C200" s="110">
        <f>IF($A196&lt;&gt;0,VLOOKUP($A196,Liste!$A$10:$W$59,11,FALSE),"")</f>
        <v>340</v>
      </c>
      <c r="F200" s="172"/>
      <c r="G200" s="82"/>
      <c r="H200" s="82"/>
      <c r="I200" s="82"/>
      <c r="J200" s="82"/>
      <c r="K200" s="82"/>
      <c r="L200" s="89"/>
      <c r="M200" s="83"/>
    </row>
    <row r="201" spans="1:13" ht="13.8" thickBot="1" x14ac:dyDescent="0.3">
      <c r="A201" s="115" t="str">
        <f>IF($A196&lt;&gt;0,"Lot " &amp; VLOOKUP($A196,Liste!$A$10:$W$59,12,FALSE),"")</f>
        <v>Lot 47</v>
      </c>
      <c r="B201" s="202" t="str">
        <f>IF($A196&lt;&gt;0,VLOOKUP($A196,Liste!$A$10:$W$59,13,FALSE),"")</f>
        <v>Cave</v>
      </c>
      <c r="C201" s="110">
        <f>IF($A196&lt;&gt;0,VLOOKUP($A196,Liste!$A$10:$W$59,14,FALSE),"")</f>
        <v>20</v>
      </c>
      <c r="D201" s="111"/>
      <c r="E201" s="116"/>
      <c r="F201" s="173"/>
      <c r="G201" s="122"/>
      <c r="H201" s="122"/>
      <c r="I201" s="122"/>
      <c r="J201" s="122"/>
      <c r="K201" s="122"/>
      <c r="L201" s="128"/>
      <c r="M201" s="83"/>
    </row>
    <row r="202" spans="1:13" x14ac:dyDescent="0.25">
      <c r="A202" s="192" t="str">
        <f>IF($A196&lt;&gt;0,"Lot " &amp; VLOOKUP($A196,Liste!$A$10:$W$59,15,FALSE),"")</f>
        <v>Lot 72</v>
      </c>
      <c r="B202" s="202" t="str">
        <f>IF($A196&lt;&gt;0,VLOOKUP($A196,Liste!$A$10:$W$59,16,FALSE),"")</f>
        <v>Parking</v>
      </c>
      <c r="C202" s="119">
        <f>IF($A196&lt;&gt;0,VLOOKUP($A196,Liste!$A$10:$W$59,17,FALSE),"")</f>
        <v>10</v>
      </c>
      <c r="D202" s="119"/>
      <c r="E202" s="125"/>
      <c r="F202" s="172"/>
      <c r="G202" s="168" t="s">
        <v>159</v>
      </c>
      <c r="H202" s="174" t="s">
        <v>160</v>
      </c>
      <c r="I202" s="84"/>
      <c r="J202" s="84"/>
      <c r="K202" s="84"/>
      <c r="L202" s="108"/>
      <c r="M202" s="83"/>
    </row>
    <row r="203" spans="1:13" x14ac:dyDescent="0.25">
      <c r="A203" s="192" t="str">
        <f>IF($A196&lt;&gt;0,"Lot " &amp; VLOOKUP($A196,Liste!$A$10:$W$59,18,FALSE),"")</f>
        <v>Lot 79</v>
      </c>
      <c r="B203" s="202" t="str">
        <f>IF($A196&lt;&gt;0,VLOOKUP($A196,Liste!$A$10:$W$59,19,FALSE),"")</f>
        <v>Garage</v>
      </c>
      <c r="C203" s="119">
        <f>IF($A196&lt;&gt;0,VLOOKUP($A196,Liste!$A$10:$W$59,20,FALSE),"")</f>
        <v>30</v>
      </c>
      <c r="F203" s="172"/>
      <c r="G203" s="169" t="s">
        <v>161</v>
      </c>
      <c r="H203" s="174" t="s">
        <v>160</v>
      </c>
      <c r="I203" s="167"/>
      <c r="J203" s="167"/>
      <c r="K203" s="167"/>
      <c r="L203" s="176"/>
      <c r="M203" s="83"/>
    </row>
    <row r="204" spans="1:13" ht="18" thickBot="1" x14ac:dyDescent="0.3">
      <c r="A204" s="193" t="str">
        <f>IF($A196&lt;&gt;0,"Lot " &amp; VLOOKUP($A196,Liste!$A$10:$W$59,21,FALSE),"")</f>
        <v xml:space="preserve">Lot </v>
      </c>
      <c r="B204" s="203">
        <f>IF($A196&lt;&gt;0,VLOOKUP($A196,Liste!$A$10:$W$59,22,FALSE),"")</f>
        <v>0</v>
      </c>
      <c r="C204" s="123">
        <f>IF($A196&lt;&gt;0,VLOOKUP($A196,Liste!$A$10:$W$59,23,FALSE),"")</f>
        <v>0</v>
      </c>
      <c r="D204" s="122"/>
      <c r="E204" s="122"/>
      <c r="F204" s="213"/>
      <c r="G204" s="226" t="str">
        <f>IF(OR(B197=0,VLOOKUP(A196,Liste!$A$10:'Liste'!$Z$59,26)&lt;&gt;""),"", "Voir autorisation messages électroniques")</f>
        <v>Voir autorisation messages électroniques</v>
      </c>
      <c r="H204" s="226"/>
      <c r="I204" s="226"/>
      <c r="J204" s="122"/>
      <c r="K204" s="122"/>
      <c r="L204" s="128"/>
      <c r="M204" s="83"/>
    </row>
    <row r="205" spans="1:13" ht="18.75" customHeight="1" x14ac:dyDescent="0.25">
      <c r="A205" s="120">
        <f>A196+1</f>
        <v>22</v>
      </c>
      <c r="B205" s="204"/>
      <c r="C205" s="82"/>
      <c r="D205" s="82"/>
      <c r="E205" s="82"/>
      <c r="F205" s="183"/>
      <c r="G205" s="181" t="s">
        <v>162</v>
      </c>
      <c r="H205" s="166"/>
      <c r="I205" s="166"/>
      <c r="J205" s="166"/>
      <c r="K205" s="166"/>
      <c r="L205" s="175"/>
      <c r="M205" s="83"/>
    </row>
    <row r="206" spans="1:13" ht="18" thickBot="1" x14ac:dyDescent="0.35">
      <c r="A206" s="83" t="str">
        <f>IF($A205&lt;&gt;0,VLOOKUP($A205,Liste!$A$10:$W$59,3,FALSE),"")</f>
        <v>Mr  et Mme</v>
      </c>
      <c r="B206" s="201" t="str">
        <f>IF($A205&lt;&gt;0,VLOOKUP($A205,Liste!$A$10:$W$59,4,FALSE),"")</f>
        <v>FARDIN Sébastin</v>
      </c>
      <c r="E206" s="109">
        <f>IF($A205&lt;&gt;0,VLOOKUP($A205,Liste!$A$10:$W$59,8,FALSE),"")</f>
        <v>380</v>
      </c>
      <c r="F206" s="184"/>
      <c r="G206" s="182" t="s">
        <v>158</v>
      </c>
      <c r="H206" s="106"/>
      <c r="I206" s="106"/>
      <c r="J206" s="106"/>
      <c r="K206" s="106"/>
      <c r="L206" s="26"/>
      <c r="M206" s="83"/>
    </row>
    <row r="207" spans="1:13" x14ac:dyDescent="0.25">
      <c r="A207" s="114" t="str">
        <f>IF($A205&lt;&gt;0,VLOOKUP($A205,Liste!$A$10:$W$59,5,FALSE),"")</f>
        <v>13 rue de Marseille</v>
      </c>
      <c r="B207" s="83"/>
      <c r="F207" s="170"/>
      <c r="G207" s="171" t="s">
        <v>163</v>
      </c>
      <c r="H207" s="171"/>
      <c r="I207" s="171"/>
      <c r="J207" s="171"/>
      <c r="K207" s="171"/>
      <c r="L207" s="127"/>
      <c r="M207" s="83"/>
    </row>
    <row r="208" spans="1:13" x14ac:dyDescent="0.25">
      <c r="A208" s="114">
        <f>IF($A205&lt;&gt;0,VLOOKUP($A205,Liste!$A$10:$W$59,6,FALSE),"")</f>
        <v>75016</v>
      </c>
      <c r="B208" s="114" t="str">
        <f>IF($A205&lt;&gt;0,VLOOKUP($A205,Liste!$A$10:$W$59,7,FALSE),"")</f>
        <v xml:space="preserve">Paris </v>
      </c>
      <c r="F208" s="172"/>
      <c r="G208" s="82"/>
      <c r="H208" s="82"/>
      <c r="I208" s="82"/>
      <c r="J208" s="82"/>
      <c r="K208" s="82"/>
      <c r="L208" s="89"/>
      <c r="M208" s="83"/>
    </row>
    <row r="209" spans="1:13" x14ac:dyDescent="0.25">
      <c r="A209" s="115" t="str">
        <f xml:space="preserve"> IF($A205&lt;&gt;0, "Lot " &amp; VLOOKUP($A205,Liste!$A$10:$W$59,9,FALSE),"")</f>
        <v>Lot 23</v>
      </c>
      <c r="B209" s="202" t="str">
        <f>IF($A205&lt;&gt;0,VLOOKUP($A205,Liste!$A$10:$W$59,10,FALSE),"")</f>
        <v>Appart,</v>
      </c>
      <c r="C209" s="110">
        <f>IF($A205&lt;&gt;0,VLOOKUP($A205,Liste!$A$10:$W$59,11,FALSE),"")</f>
        <v>325</v>
      </c>
      <c r="F209" s="172"/>
      <c r="G209" s="82"/>
      <c r="H209" s="82"/>
      <c r="I209" s="82"/>
      <c r="J209" s="82"/>
      <c r="K209" s="82"/>
      <c r="L209" s="89"/>
      <c r="M209" s="83"/>
    </row>
    <row r="210" spans="1:13" ht="13.8" thickBot="1" x14ac:dyDescent="0.3">
      <c r="A210" s="115" t="str">
        <f>IF($A205&lt;&gt;0,"Lot " &amp; VLOOKUP($A205,Liste!$A$10:$W$59,12,FALSE),"")</f>
        <v>Lot 48</v>
      </c>
      <c r="B210" s="202" t="str">
        <f>IF($A205&lt;&gt;0,VLOOKUP($A205,Liste!$A$10:$W$59,13,FALSE),"")</f>
        <v>Cave</v>
      </c>
      <c r="C210" s="110">
        <f>IF($A205&lt;&gt;0,VLOOKUP($A205,Liste!$A$10:$W$59,14,FALSE),"")</f>
        <v>20</v>
      </c>
      <c r="D210" s="111"/>
      <c r="E210" s="116"/>
      <c r="F210" s="173"/>
      <c r="G210" s="122"/>
      <c r="H210" s="122"/>
      <c r="I210" s="122"/>
      <c r="J210" s="122"/>
      <c r="K210" s="122"/>
      <c r="L210" s="128"/>
      <c r="M210" s="83"/>
    </row>
    <row r="211" spans="1:13" x14ac:dyDescent="0.25">
      <c r="A211" s="192" t="str">
        <f>IF($A205&lt;&gt;0,"Lot " &amp; VLOOKUP($A205,Liste!$A$10:$W$59,15,FALSE),"")</f>
        <v>Lot 73</v>
      </c>
      <c r="B211" s="202" t="str">
        <f>IF($A205&lt;&gt;0,VLOOKUP($A205,Liste!$A$10:$W$59,16,FALSE),"")</f>
        <v>Parking</v>
      </c>
      <c r="C211" s="119">
        <f>IF($A205&lt;&gt;0,VLOOKUP($A205,Liste!$A$10:$W$59,17,FALSE),"")</f>
        <v>10</v>
      </c>
      <c r="D211" s="119"/>
      <c r="E211" s="125"/>
      <c r="F211" s="172"/>
      <c r="G211" s="168" t="s">
        <v>159</v>
      </c>
      <c r="H211" s="174" t="s">
        <v>160</v>
      </c>
      <c r="I211" s="84"/>
      <c r="J211" s="84"/>
      <c r="K211" s="84"/>
      <c r="L211" s="108"/>
      <c r="M211" s="83"/>
    </row>
    <row r="212" spans="1:13" x14ac:dyDescent="0.25">
      <c r="A212" s="192" t="str">
        <f>IF($A205&lt;&gt;0,"Lot " &amp; VLOOKUP($A205,Liste!$A$10:$W$59,18,FALSE),"")</f>
        <v xml:space="preserve">Lot </v>
      </c>
      <c r="B212" s="202">
        <f>IF($A205&lt;&gt;0,VLOOKUP($A205,Liste!$A$10:$W$59,19,FALSE),"")</f>
        <v>0</v>
      </c>
      <c r="C212" s="119">
        <f>IF($A205&lt;&gt;0,VLOOKUP($A205,Liste!$A$10:$W$59,20,FALSE),"")</f>
        <v>0</v>
      </c>
      <c r="F212" s="172"/>
      <c r="G212" s="169" t="s">
        <v>161</v>
      </c>
      <c r="H212" s="174" t="s">
        <v>160</v>
      </c>
      <c r="I212" s="167"/>
      <c r="J212" s="167"/>
      <c r="K212" s="167"/>
      <c r="L212" s="176"/>
      <c r="M212" s="83"/>
    </row>
    <row r="213" spans="1:13" ht="18" thickBot="1" x14ac:dyDescent="0.3">
      <c r="A213" s="193" t="str">
        <f>IF($A205&lt;&gt;0,"Lot " &amp; VLOOKUP($A205,Liste!$A$10:$W$59,21,FALSE),"")</f>
        <v>Lot 88</v>
      </c>
      <c r="B213" s="203" t="str">
        <f>IF($A205&lt;&gt;0,VLOOKUP($A205,Liste!$A$10:$W$59,22,FALSE),"")</f>
        <v>Box</v>
      </c>
      <c r="C213" s="123">
        <f>IF($A205&lt;&gt;0,VLOOKUP($A205,Liste!$A$10:$W$59,23,FALSE),"")</f>
        <v>25</v>
      </c>
      <c r="D213" s="122"/>
      <c r="E213" s="122"/>
      <c r="F213" s="213"/>
      <c r="G213" s="226" t="str">
        <f>IF(OR(B206=0,VLOOKUP(A205,Liste!$A$10:'Liste'!$Z$59,26)&lt;&gt;""),"", "Voir autorisation messages électroniques")</f>
        <v>Voir autorisation messages électroniques</v>
      </c>
      <c r="H213" s="226"/>
      <c r="I213" s="226"/>
      <c r="J213" s="122"/>
      <c r="K213" s="122"/>
      <c r="L213" s="128"/>
      <c r="M213" s="83"/>
    </row>
    <row r="214" spans="1:13" ht="17.25" customHeight="1" x14ac:dyDescent="0.25">
      <c r="A214" s="120">
        <f>A205+1</f>
        <v>23</v>
      </c>
      <c r="B214" s="204"/>
      <c r="C214" s="82"/>
      <c r="D214" s="82"/>
      <c r="E214" s="82"/>
      <c r="F214" s="183"/>
      <c r="G214" s="181" t="s">
        <v>162</v>
      </c>
      <c r="H214" s="166"/>
      <c r="I214" s="166"/>
      <c r="J214" s="166"/>
      <c r="K214" s="166"/>
      <c r="L214" s="175"/>
      <c r="M214" s="83"/>
    </row>
    <row r="215" spans="1:13" ht="18" thickBot="1" x14ac:dyDescent="0.35">
      <c r="A215" s="83" t="str">
        <f>IF($A214&lt;&gt;0,VLOOKUP($A214,Liste!$A$10:$W$59,3,FALSE),"")</f>
        <v>Madame</v>
      </c>
      <c r="B215" s="201" t="str">
        <f>IF($A214&lt;&gt;0,VLOOKUP($A214,Liste!$A$10:$W$59,4,FALSE),"")</f>
        <v>SEBARDIN Suzanne</v>
      </c>
      <c r="E215" s="109">
        <f>IF($A214&lt;&gt;0,VLOOKUP($A214,Liste!$A$10:$W$59,8,FALSE),"")</f>
        <v>390</v>
      </c>
      <c r="F215" s="184"/>
      <c r="G215" s="182" t="s">
        <v>158</v>
      </c>
      <c r="H215" s="106"/>
      <c r="I215" s="106"/>
      <c r="J215" s="106"/>
      <c r="K215" s="106"/>
      <c r="L215" s="26"/>
      <c r="M215" s="83"/>
    </row>
    <row r="216" spans="1:13" x14ac:dyDescent="0.25">
      <c r="A216" s="114" t="str">
        <f>IF($A214&lt;&gt;0,VLOOKUP($A214,Liste!$A$10:$W$59,5,FALSE),"")</f>
        <v>47 rue de Nantes</v>
      </c>
      <c r="B216" s="83"/>
      <c r="F216" s="170"/>
      <c r="G216" s="171" t="s">
        <v>163</v>
      </c>
      <c r="H216" s="171"/>
      <c r="I216" s="171"/>
      <c r="J216" s="171"/>
      <c r="K216" s="171"/>
      <c r="L216" s="127"/>
      <c r="M216" s="83"/>
    </row>
    <row r="217" spans="1:13" x14ac:dyDescent="0.25">
      <c r="A217" s="114">
        <f>IF($A214&lt;&gt;0,VLOOKUP($A214,Liste!$A$10:$W$59,6,FALSE),"")</f>
        <v>75016</v>
      </c>
      <c r="B217" s="114" t="str">
        <f>IF($A214&lt;&gt;0,VLOOKUP($A214,Liste!$A$10:$W$59,7,FALSE),"")</f>
        <v xml:space="preserve">Paris </v>
      </c>
      <c r="F217" s="172"/>
      <c r="G217" s="82"/>
      <c r="H217" s="82"/>
      <c r="I217" s="82"/>
      <c r="J217" s="82"/>
      <c r="K217" s="82"/>
      <c r="L217" s="89"/>
      <c r="M217" s="83"/>
    </row>
    <row r="218" spans="1:13" x14ac:dyDescent="0.25">
      <c r="A218" s="115" t="str">
        <f xml:space="preserve"> IF($A214&lt;&gt;0, "Lot " &amp; VLOOKUP($A214,Liste!$A$10:$W$59,9,FALSE),"")</f>
        <v>Lot 24</v>
      </c>
      <c r="B218" s="202" t="str">
        <f>IF($A214&lt;&gt;0,VLOOKUP($A214,Liste!$A$10:$W$59,10,FALSE),"")</f>
        <v>Appart,</v>
      </c>
      <c r="C218" s="110">
        <f>IF($A214&lt;&gt;0,VLOOKUP($A214,Liste!$A$10:$W$59,11,FALSE),"")</f>
        <v>335</v>
      </c>
      <c r="F218" s="172"/>
      <c r="G218" s="82"/>
      <c r="H218" s="82"/>
      <c r="I218" s="82"/>
      <c r="J218" s="82"/>
      <c r="K218" s="82"/>
      <c r="L218" s="89"/>
      <c r="M218" s="83"/>
    </row>
    <row r="219" spans="1:13" ht="13.8" thickBot="1" x14ac:dyDescent="0.3">
      <c r="A219" s="115" t="str">
        <f>IF($A214&lt;&gt;0,"Lot " &amp; VLOOKUP($A214,Liste!$A$10:$W$59,12,FALSE),"")</f>
        <v>Lot 49</v>
      </c>
      <c r="B219" s="202" t="str">
        <f>IF($A214&lt;&gt;0,VLOOKUP($A214,Liste!$A$10:$W$59,13,FALSE),"")</f>
        <v>Cave</v>
      </c>
      <c r="C219" s="110">
        <f>IF($A214&lt;&gt;0,VLOOKUP($A214,Liste!$A$10:$W$59,14,FALSE),"")</f>
        <v>20</v>
      </c>
      <c r="D219" s="111"/>
      <c r="E219" s="116"/>
      <c r="F219" s="173"/>
      <c r="G219" s="122"/>
      <c r="H219" s="122"/>
      <c r="I219" s="122"/>
      <c r="J219" s="122"/>
      <c r="K219" s="122"/>
      <c r="L219" s="128"/>
      <c r="M219" s="83"/>
    </row>
    <row r="220" spans="1:13" x14ac:dyDescent="0.25">
      <c r="A220" s="192" t="str">
        <f>IF($A214&lt;&gt;0,"Lot " &amp; VLOOKUP($A214,Liste!$A$10:$W$59,15,FALSE),"")</f>
        <v>Lot 74</v>
      </c>
      <c r="B220" s="202" t="str">
        <f>IF($A214&lt;&gt;0,VLOOKUP($A214,Liste!$A$10:$W$59,16,FALSE),"")</f>
        <v>Parking</v>
      </c>
      <c r="C220" s="119">
        <f>IF($A214&lt;&gt;0,VLOOKUP($A214,Liste!$A$10:$W$59,17,FALSE),"")</f>
        <v>10</v>
      </c>
      <c r="D220" s="119"/>
      <c r="E220" s="125"/>
      <c r="F220" s="172"/>
      <c r="G220" s="168" t="s">
        <v>159</v>
      </c>
      <c r="H220" s="174" t="s">
        <v>160</v>
      </c>
      <c r="I220" s="84"/>
      <c r="J220" s="84"/>
      <c r="K220" s="84"/>
      <c r="L220" s="108"/>
      <c r="M220" s="83"/>
    </row>
    <row r="221" spans="1:13" x14ac:dyDescent="0.25">
      <c r="A221" s="192" t="str">
        <f>IF($A214&lt;&gt;0,"Lot " &amp; VLOOKUP($A214,Liste!$A$10:$W$59,18,FALSE),"")</f>
        <v xml:space="preserve">Lot </v>
      </c>
      <c r="B221" s="202">
        <f>IF($A214&lt;&gt;0,VLOOKUP($A214,Liste!$A$10:$W$59,19,FALSE),"")</f>
        <v>0</v>
      </c>
      <c r="C221" s="119">
        <f>IF($A214&lt;&gt;0,VLOOKUP($A214,Liste!$A$10:$W$59,20,FALSE),"")</f>
        <v>0</v>
      </c>
      <c r="F221" s="172"/>
      <c r="G221" s="169" t="s">
        <v>161</v>
      </c>
      <c r="H221" s="174" t="s">
        <v>160</v>
      </c>
      <c r="I221" s="167"/>
      <c r="J221" s="167"/>
      <c r="K221" s="167"/>
      <c r="L221" s="176"/>
      <c r="M221" s="83"/>
    </row>
    <row r="222" spans="1:13" ht="18" thickBot="1" x14ac:dyDescent="0.3">
      <c r="A222" s="193" t="str">
        <f>IF($A214&lt;&gt;0,"Lot " &amp; VLOOKUP($A214,Liste!$A$10:$W$59,21,FALSE),"")</f>
        <v>Lot 89</v>
      </c>
      <c r="B222" s="203" t="str">
        <f>IF($A214&lt;&gt;0,VLOOKUP($A214,Liste!$A$10:$W$59,22,FALSE),"")</f>
        <v>Box</v>
      </c>
      <c r="C222" s="123">
        <f>IF($A214&lt;&gt;0,VLOOKUP($A214,Liste!$A$10:$W$59,23,FALSE),"")</f>
        <v>25</v>
      </c>
      <c r="D222" s="122"/>
      <c r="E222" s="122"/>
      <c r="F222" s="213"/>
      <c r="G222" s="226" t="str">
        <f>IF(OR(B215=0,VLOOKUP(A214,Liste!$A$10:'Liste'!$Z$59,26)&lt;&gt;""),"", "Voir autorisation messages électroniques")</f>
        <v>Voir autorisation messages électroniques</v>
      </c>
      <c r="H222" s="226"/>
      <c r="I222" s="226"/>
      <c r="J222" s="122"/>
      <c r="K222" s="122"/>
      <c r="L222" s="128"/>
      <c r="M222" s="83"/>
    </row>
    <row r="223" spans="1:13" ht="18" customHeight="1" x14ac:dyDescent="0.25">
      <c r="A223" s="120">
        <f>A214+1</f>
        <v>24</v>
      </c>
      <c r="B223" s="204"/>
      <c r="C223" s="82"/>
      <c r="D223" s="82"/>
      <c r="E223" s="82"/>
      <c r="F223" s="183"/>
      <c r="G223" s="181" t="s">
        <v>162</v>
      </c>
      <c r="H223" s="166"/>
      <c r="I223" s="166"/>
      <c r="J223" s="166"/>
      <c r="K223" s="166"/>
      <c r="L223" s="175"/>
      <c r="M223" s="83"/>
    </row>
    <row r="224" spans="1:13" ht="18" thickBot="1" x14ac:dyDescent="0.35">
      <c r="A224" s="83" t="str">
        <f>IF($A223&lt;&gt;0,VLOOKUP($A223,Liste!$A$10:$W$59,3,FALSE),"")</f>
        <v>Madame</v>
      </c>
      <c r="B224" s="201" t="str">
        <f>IF($A223&lt;&gt;0,VLOOKUP($A223,Liste!$A$10:$W$59,4,FALSE),"")</f>
        <v>AUBERT Pierre</v>
      </c>
      <c r="E224" s="109">
        <f>IF($A223&lt;&gt;0,VLOOKUP($A223,Liste!$A$10:$W$59,8,FALSE),"")</f>
        <v>315</v>
      </c>
      <c r="F224" s="184"/>
      <c r="G224" s="182" t="s">
        <v>158</v>
      </c>
      <c r="H224" s="106"/>
      <c r="I224" s="106"/>
      <c r="J224" s="106"/>
      <c r="K224" s="106"/>
      <c r="L224" s="26"/>
      <c r="M224" s="83"/>
    </row>
    <row r="225" spans="1:13" x14ac:dyDescent="0.25">
      <c r="A225" s="114" t="str">
        <f>IF($A223&lt;&gt;0,VLOOKUP($A223,Liste!$A$10:$W$59,5,FALSE),"")</f>
        <v>17 rue de l' espoir</v>
      </c>
      <c r="B225" s="83"/>
      <c r="F225" s="170"/>
      <c r="G225" s="171" t="s">
        <v>163</v>
      </c>
      <c r="H225" s="171"/>
      <c r="I225" s="171"/>
      <c r="J225" s="171"/>
      <c r="K225" s="171"/>
      <c r="L225" s="127"/>
      <c r="M225" s="83"/>
    </row>
    <row r="226" spans="1:13" x14ac:dyDescent="0.25">
      <c r="A226" s="114">
        <f>IF($A223&lt;&gt;0,VLOOKUP($A223,Liste!$A$10:$W$59,6,FALSE),"")</f>
        <v>75016</v>
      </c>
      <c r="B226" s="114" t="str">
        <f>IF($A223&lt;&gt;0,VLOOKUP($A223,Liste!$A$10:$W$59,7,FALSE),"")</f>
        <v xml:space="preserve">Paris </v>
      </c>
      <c r="F226" s="172"/>
      <c r="G226" s="82"/>
      <c r="H226" s="82"/>
      <c r="I226" s="82"/>
      <c r="J226" s="82"/>
      <c r="K226" s="82"/>
      <c r="L226" s="89"/>
      <c r="M226" s="83"/>
    </row>
    <row r="227" spans="1:13" x14ac:dyDescent="0.25">
      <c r="A227" s="115" t="str">
        <f xml:space="preserve"> IF($A223&lt;&gt;0, "Lot " &amp; VLOOKUP($A223,Liste!$A$10:$W$59,9,FALSE),"")</f>
        <v>Lot 16</v>
      </c>
      <c r="B227" s="202" t="str">
        <f>IF($A223&lt;&gt;0,VLOOKUP($A223,Liste!$A$10:$W$59,10,FALSE),"")</f>
        <v>Appart,</v>
      </c>
      <c r="C227" s="110">
        <f>IF($A223&lt;&gt;0,VLOOKUP($A223,Liste!$A$10:$W$59,11,FALSE),"")</f>
        <v>285</v>
      </c>
      <c r="F227" s="172"/>
      <c r="G227" s="82"/>
      <c r="H227" s="82"/>
      <c r="I227" s="82"/>
      <c r="J227" s="82"/>
      <c r="K227" s="82"/>
      <c r="L227" s="89"/>
      <c r="M227" s="83"/>
    </row>
    <row r="228" spans="1:13" ht="13.8" thickBot="1" x14ac:dyDescent="0.3">
      <c r="A228" s="115" t="str">
        <f>IF($A223&lt;&gt;0,"Lot " &amp; VLOOKUP($A223,Liste!$A$10:$W$59,12,FALSE),"")</f>
        <v>Lot 41</v>
      </c>
      <c r="B228" s="202" t="str">
        <f>IF($A223&lt;&gt;0,VLOOKUP($A223,Liste!$A$10:$W$59,13,FALSE),"")</f>
        <v>Cave</v>
      </c>
      <c r="C228" s="110">
        <f>IF($A223&lt;&gt;0,VLOOKUP($A223,Liste!$A$10:$W$59,14,FALSE),"")</f>
        <v>20</v>
      </c>
      <c r="D228" s="111"/>
      <c r="E228" s="116"/>
      <c r="F228" s="173"/>
      <c r="G228" s="122"/>
      <c r="H228" s="122"/>
      <c r="I228" s="122"/>
      <c r="J228" s="122"/>
      <c r="K228" s="122"/>
      <c r="L228" s="128"/>
      <c r="M228" s="83"/>
    </row>
    <row r="229" spans="1:13" x14ac:dyDescent="0.25">
      <c r="A229" s="192" t="str">
        <f>IF($A223&lt;&gt;0,"Lot " &amp; VLOOKUP($A223,Liste!$A$10:$W$59,15,FALSE),"")</f>
        <v>Lot 66</v>
      </c>
      <c r="B229" s="202" t="str">
        <f>IF($A223&lt;&gt;0,VLOOKUP($A223,Liste!$A$10:$W$59,16,FALSE),"")</f>
        <v>Parking</v>
      </c>
      <c r="C229" s="119">
        <f>IF($A223&lt;&gt;0,VLOOKUP($A223,Liste!$A$10:$W$59,17,FALSE),"")</f>
        <v>10</v>
      </c>
      <c r="D229" s="119"/>
      <c r="E229" s="125"/>
      <c r="F229" s="172"/>
      <c r="G229" s="168" t="s">
        <v>159</v>
      </c>
      <c r="H229" s="174" t="s">
        <v>160</v>
      </c>
      <c r="I229" s="84"/>
      <c r="J229" s="84"/>
      <c r="K229" s="84"/>
      <c r="L229" s="108"/>
      <c r="M229" s="83"/>
    </row>
    <row r="230" spans="1:13" x14ac:dyDescent="0.25">
      <c r="A230" s="192" t="str">
        <f>IF($A223&lt;&gt;0,"Lot " &amp; VLOOKUP($A223,Liste!$A$10:$W$59,18,FALSE),"")</f>
        <v xml:space="preserve">Lot </v>
      </c>
      <c r="B230" s="202">
        <f>IF($A223&lt;&gt;0,VLOOKUP($A223,Liste!$A$10:$W$59,19,FALSE),"")</f>
        <v>0</v>
      </c>
      <c r="C230" s="119">
        <f>IF($A223&lt;&gt;0,VLOOKUP($A223,Liste!$A$10:$W$59,20,FALSE),"")</f>
        <v>0</v>
      </c>
      <c r="F230" s="172"/>
      <c r="G230" s="169" t="s">
        <v>161</v>
      </c>
      <c r="H230" s="174" t="s">
        <v>160</v>
      </c>
      <c r="I230" s="167"/>
      <c r="J230" s="167"/>
      <c r="K230" s="167"/>
      <c r="L230" s="176"/>
      <c r="M230" s="83"/>
    </row>
    <row r="231" spans="1:13" ht="18" thickBot="1" x14ac:dyDescent="0.3">
      <c r="A231" s="193" t="str">
        <f>IF($A223&lt;&gt;0,"Lot " &amp; VLOOKUP($A223,Liste!$A$10:$W$59,21,FALSE),"")</f>
        <v xml:space="preserve">Lot </v>
      </c>
      <c r="B231" s="203">
        <f>IF($A223&lt;&gt;0,VLOOKUP($A223,Liste!$A$10:$W$59,22,FALSE),"")</f>
        <v>0</v>
      </c>
      <c r="C231" s="123">
        <f>IF($A223&lt;&gt;0,VLOOKUP($A223,Liste!$A$10:$W$59,23,FALSE),"")</f>
        <v>0</v>
      </c>
      <c r="D231" s="122"/>
      <c r="E231" s="122"/>
      <c r="F231" s="213"/>
      <c r="G231" s="226" t="str">
        <f>IF(OR(B224=0,VLOOKUP(A223,Liste!$A$10:'Liste'!$Z$59,26)&lt;&gt;""),"", "Voir autorisation messages électroniques")</f>
        <v>Voir autorisation messages électroniques</v>
      </c>
      <c r="H231" s="226"/>
      <c r="I231" s="226"/>
      <c r="J231" s="122"/>
      <c r="K231" s="122"/>
      <c r="L231" s="128"/>
      <c r="M231" s="83"/>
    </row>
    <row r="232" spans="1:13" x14ac:dyDescent="0.25">
      <c r="L232" s="89"/>
    </row>
    <row r="233" spans="1:13" ht="17.399999999999999" x14ac:dyDescent="0.3">
      <c r="D233" s="112" t="s">
        <v>93</v>
      </c>
      <c r="E233" s="112"/>
      <c r="F233" s="112"/>
      <c r="K233" s="133" t="s">
        <v>98</v>
      </c>
      <c r="L233" s="190">
        <f>L156+1</f>
        <v>4</v>
      </c>
    </row>
    <row r="234" spans="1:13" x14ac:dyDescent="0.25">
      <c r="E234" s="133"/>
      <c r="F234" s="117" t="s">
        <v>166</v>
      </c>
      <c r="G234" s="152">
        <f>IF(A237&gt;0,Liste!$C$1,"")</f>
        <v>44084</v>
      </c>
      <c r="L234" s="89"/>
    </row>
    <row r="235" spans="1:13" x14ac:dyDescent="0.25">
      <c r="D235" t="str">
        <f>IF(A237&gt;0,Liste!$C$3&amp;"; "&amp;Liste!$C$4&amp;" "&amp;Liste!$C$5,"""")</f>
        <v>Résidence Le Paradis; Rue de l' espoir 75016 PARIS</v>
      </c>
      <c r="E235" s="152"/>
      <c r="F235" s="152"/>
      <c r="G235" s="152"/>
      <c r="L235" s="89"/>
    </row>
    <row r="236" spans="1:13" ht="13.8" thickBot="1" x14ac:dyDescent="0.3">
      <c r="A236" s="84"/>
      <c r="B236" s="84"/>
      <c r="C236" s="84"/>
      <c r="D236" s="82"/>
      <c r="E236" s="84"/>
      <c r="F236" s="84"/>
      <c r="G236" s="84"/>
      <c r="L236" s="89"/>
    </row>
    <row r="237" spans="1:13" ht="18" customHeight="1" x14ac:dyDescent="0.25">
      <c r="A237" s="171">
        <f>A223+1</f>
        <v>25</v>
      </c>
      <c r="B237" s="171"/>
      <c r="C237" s="171"/>
      <c r="D237" s="171"/>
      <c r="E237" s="171"/>
      <c r="F237" s="183"/>
      <c r="G237" s="181" t="s">
        <v>162</v>
      </c>
      <c r="H237" s="166"/>
      <c r="I237" s="166"/>
      <c r="J237" s="166"/>
      <c r="K237" s="166"/>
      <c r="L237" s="175"/>
      <c r="M237" s="83"/>
    </row>
    <row r="238" spans="1:13" ht="18" thickBot="1" x14ac:dyDescent="0.35">
      <c r="A238" s="82" t="str">
        <f>IF($A237&lt;&gt;0,VLOOKUP($A237,Liste!$A$10:$W$59,3,FALSE),"")</f>
        <v>Monsieur</v>
      </c>
      <c r="B238" s="207" t="str">
        <f>IF($A237&lt;&gt;0,VLOOKUP($A237,Liste!$A$10:$W$59,4,FALSE),"")</f>
        <v>WEBER Jean Pierre</v>
      </c>
      <c r="C238" s="82"/>
      <c r="D238" s="82"/>
      <c r="E238" s="208">
        <f>IF($A237&lt;&gt;0,VLOOKUP($A237,Liste!$A$10:$W$59,8,FALSE),"")</f>
        <v>480</v>
      </c>
      <c r="F238" s="184"/>
      <c r="G238" s="182" t="s">
        <v>158</v>
      </c>
      <c r="H238" s="106"/>
      <c r="I238" s="106"/>
      <c r="J238" s="106"/>
      <c r="K238" s="106"/>
      <c r="L238" s="26"/>
      <c r="M238" s="83"/>
    </row>
    <row r="239" spans="1:13" x14ac:dyDescent="0.25">
      <c r="A239" s="114" t="str">
        <f>IF($A237&lt;&gt;0,VLOOKUP($A237,Liste!$A$10:$W$59,5,FALSE),"")</f>
        <v>17 rue de l' espoir</v>
      </c>
      <c r="F239" s="170"/>
      <c r="G239" s="171" t="s">
        <v>163</v>
      </c>
      <c r="H239" s="171"/>
      <c r="I239" s="171"/>
      <c r="J239" s="171"/>
      <c r="K239" s="171"/>
      <c r="L239" s="127"/>
      <c r="M239" s="83"/>
    </row>
    <row r="240" spans="1:13" x14ac:dyDescent="0.25">
      <c r="A240" s="114">
        <f>IF($A237&lt;&gt;0,VLOOKUP($A237,Liste!$A$10:$W$59,6,FALSE),"")</f>
        <v>75016</v>
      </c>
      <c r="B240" s="107" t="str">
        <f>IF($A237&lt;&gt;0,VLOOKUP($A237,Liste!$A$10:$W$59,7,FALSE),"")</f>
        <v xml:space="preserve">Paris </v>
      </c>
      <c r="F240" s="172"/>
      <c r="G240" s="82"/>
      <c r="H240" s="82"/>
      <c r="I240" s="82"/>
      <c r="J240" s="82"/>
      <c r="K240" s="82"/>
      <c r="L240" s="89"/>
      <c r="M240" s="83"/>
    </row>
    <row r="241" spans="1:13" x14ac:dyDescent="0.25">
      <c r="A241" s="115" t="str">
        <f xml:space="preserve"> IF($A237&lt;&gt;0, "Lot " &amp; VLOOKUP($A237,Liste!$A$10:$W$59,9,FALSE),"")</f>
        <v>Lot 25</v>
      </c>
      <c r="B241" s="111" t="str">
        <f>IF($A237&lt;&gt;0,VLOOKUP($A237,Liste!$A$10:$W$59,10,FALSE),"")</f>
        <v>Appart,</v>
      </c>
      <c r="C241" s="110">
        <f>IF($A237&lt;&gt;0,VLOOKUP($A237,Liste!$A$10:$W$59,11,FALSE),"")</f>
        <v>425</v>
      </c>
      <c r="F241" s="172"/>
      <c r="G241" s="82"/>
      <c r="H241" s="82"/>
      <c r="I241" s="82"/>
      <c r="J241" s="82"/>
      <c r="K241" s="82"/>
      <c r="L241" s="89"/>
      <c r="M241" s="83"/>
    </row>
    <row r="242" spans="1:13" ht="13.8" thickBot="1" x14ac:dyDescent="0.3">
      <c r="A242" s="115" t="str">
        <f>IF($A237&lt;&gt;0,"Lot " &amp; VLOOKUP($A237,Liste!$A$10:$W$59,12,FALSE),"")</f>
        <v>Lot 50</v>
      </c>
      <c r="B242" s="111" t="str">
        <f>IF($A237&lt;&gt;0,VLOOKUP($A237,Liste!$A$10:$W$59,13,FALSE),"")</f>
        <v>Cave</v>
      </c>
      <c r="C242" s="110">
        <f>IF($A237&lt;&gt;0,VLOOKUP($A237,Liste!$A$10:$W$59,14,FALSE),"")</f>
        <v>20</v>
      </c>
      <c r="D242" s="111"/>
      <c r="E242" s="116"/>
      <c r="F242" s="173"/>
      <c r="G242" s="122"/>
      <c r="H242" s="122"/>
      <c r="I242" s="122"/>
      <c r="J242" s="122"/>
      <c r="K242" s="122"/>
      <c r="L242" s="128"/>
      <c r="M242" s="83"/>
    </row>
    <row r="243" spans="1:13" x14ac:dyDescent="0.25">
      <c r="A243" s="192" t="str">
        <f>IF($A237&lt;&gt;0,"Lot " &amp; VLOOKUP($A237,Liste!$A$10:$W$59,15,FALSE),"")</f>
        <v>Lot 75</v>
      </c>
      <c r="B243" s="119" t="str">
        <f>IF($A237&lt;&gt;0,VLOOKUP($A237,Liste!$A$10:$W$59,16,FALSE),"")</f>
        <v>Parking</v>
      </c>
      <c r="C243" s="119">
        <f>IF($A237&lt;&gt;0,VLOOKUP($A237,Liste!$A$10:$W$59,17,FALSE),"")</f>
        <v>10</v>
      </c>
      <c r="D243" s="119"/>
      <c r="E243" s="125"/>
      <c r="F243" s="172"/>
      <c r="G243" s="168" t="s">
        <v>159</v>
      </c>
      <c r="H243" s="174" t="s">
        <v>160</v>
      </c>
      <c r="I243" s="84"/>
      <c r="J243" s="84"/>
      <c r="K243" s="84"/>
      <c r="L243" s="108"/>
      <c r="M243" s="83"/>
    </row>
    <row r="244" spans="1:13" x14ac:dyDescent="0.25">
      <c r="A244" s="192" t="str">
        <f>IF($A237&lt;&gt;0,"Lot " &amp; VLOOKUP($A237,Liste!$A$10:$W$59,18,FALSE),"")</f>
        <v xml:space="preserve">Lot </v>
      </c>
      <c r="B244" s="119">
        <f>IF($A237&lt;&gt;0,VLOOKUP($A237,Liste!$A$10:$W$59,19,FALSE),"")</f>
        <v>0</v>
      </c>
      <c r="C244" s="119">
        <f>IF($A237&lt;&gt;0,VLOOKUP($A237,Liste!$A$10:$W$59,19,FALSE),"")</f>
        <v>0</v>
      </c>
      <c r="F244" s="172"/>
      <c r="G244" s="169" t="s">
        <v>161</v>
      </c>
      <c r="H244" s="174" t="s">
        <v>160</v>
      </c>
      <c r="I244" s="167"/>
      <c r="J244" s="167"/>
      <c r="K244" s="167"/>
      <c r="L244" s="176"/>
      <c r="M244" s="83"/>
    </row>
    <row r="245" spans="1:13" ht="18" thickBot="1" x14ac:dyDescent="0.3">
      <c r="A245" s="193" t="str">
        <f>IF($A237&lt;&gt;0,"Lot " &amp; VLOOKUP($A237,Liste!$A$10:$W$59,21,FALSE),"")</f>
        <v>Lot 90</v>
      </c>
      <c r="B245" s="123" t="str">
        <f>IF($A237&lt;&gt;0,VLOOKUP($A237,Liste!$A$10:$W$59,22,FALSE),"")</f>
        <v>Box</v>
      </c>
      <c r="C245" s="123">
        <f>IF($A237&lt;&gt;0,VLOOKUP($A237,Liste!$A$10:$W$59,23,FALSE),"")</f>
        <v>25</v>
      </c>
      <c r="D245" s="122"/>
      <c r="E245" s="122"/>
      <c r="F245" s="213"/>
      <c r="G245" s="226" t="str">
        <f>IF(OR(B238=0,VLOOKUP(A237,Liste!$A$10:'Liste'!$Z$59,26)&lt;&gt;""),"", "Voir autorisation messages électroniques")</f>
        <v/>
      </c>
      <c r="H245" s="226"/>
      <c r="I245" s="226"/>
      <c r="J245" s="122"/>
      <c r="K245" s="122"/>
      <c r="L245" s="128"/>
      <c r="M245" s="83"/>
    </row>
    <row r="246" spans="1:13" ht="19.5" customHeight="1" x14ac:dyDescent="0.25">
      <c r="A246" s="120">
        <f>A237+1</f>
        <v>26</v>
      </c>
      <c r="B246" s="204"/>
      <c r="C246" s="82"/>
      <c r="D246" s="82"/>
      <c r="E246" s="82"/>
      <c r="F246" s="183"/>
      <c r="G246" s="181" t="s">
        <v>162</v>
      </c>
      <c r="H246" s="166"/>
      <c r="I246" s="166"/>
      <c r="J246" s="166"/>
      <c r="K246" s="166"/>
      <c r="L246" s="175"/>
      <c r="M246" s="83"/>
    </row>
    <row r="247" spans="1:13" ht="18" thickBot="1" x14ac:dyDescent="0.35">
      <c r="A247" s="83">
        <f>IF($A246&lt;&gt;0,VLOOKUP($A246,Liste!$A$10:$W$59,3,FALSE),"")</f>
        <v>0</v>
      </c>
      <c r="B247" s="201">
        <f>IF($A246&lt;&gt;0,VLOOKUP($A246,Liste!$A$10:$W$59,4,FALSE),"")</f>
        <v>0</v>
      </c>
      <c r="E247" s="109" t="str">
        <f>IF($A246&lt;&gt;0,VLOOKUP($A246,Liste!$A$10:$W$59,8,FALSE),"")</f>
        <v/>
      </c>
      <c r="F247" s="184"/>
      <c r="G247" s="182" t="s">
        <v>158</v>
      </c>
      <c r="H247" s="106"/>
      <c r="I247" s="106"/>
      <c r="J247" s="106"/>
      <c r="K247" s="106"/>
      <c r="L247" s="26"/>
      <c r="M247" s="83"/>
    </row>
    <row r="248" spans="1:13" x14ac:dyDescent="0.25">
      <c r="A248" s="114">
        <f>IF($A246&lt;&gt;0,VLOOKUP($A246,Liste!$A$10:$W$59,5,FALSE),"")</f>
        <v>0</v>
      </c>
      <c r="B248" s="83"/>
      <c r="F248" s="170"/>
      <c r="G248" s="171" t="s">
        <v>163</v>
      </c>
      <c r="H248" s="171"/>
      <c r="I248" s="171"/>
      <c r="J248" s="171"/>
      <c r="K248" s="171"/>
      <c r="L248" s="127"/>
      <c r="M248" s="83"/>
    </row>
    <row r="249" spans="1:13" x14ac:dyDescent="0.25">
      <c r="A249" s="114">
        <f>IF($A246&lt;&gt;0,VLOOKUP($A246,Liste!$A$10:$W$59,6,FALSE),"")</f>
        <v>0</v>
      </c>
      <c r="B249" s="114">
        <f>IF($A246&lt;&gt;0,VLOOKUP($A246,Liste!$A$10:$W$59,7,FALSE),"")</f>
        <v>0</v>
      </c>
      <c r="F249" s="172"/>
      <c r="G249" s="82"/>
      <c r="H249" s="82"/>
      <c r="I249" s="82"/>
      <c r="J249" s="82"/>
      <c r="K249" s="82"/>
      <c r="L249" s="89"/>
      <c r="M249" s="83"/>
    </row>
    <row r="250" spans="1:13" x14ac:dyDescent="0.25">
      <c r="A250" s="115" t="str">
        <f xml:space="preserve"> IF($A246&lt;&gt;0, "Lot " &amp; VLOOKUP($A246,Liste!$A$10:$W$59,9,FALSE),"")</f>
        <v xml:space="preserve">Lot </v>
      </c>
      <c r="B250" s="202">
        <f>IF($A246&lt;&gt;0,VLOOKUP($A246,Liste!$A$10:$W$59,10,FALSE),"")</f>
        <v>0</v>
      </c>
      <c r="C250" s="110">
        <f>IF($A246&lt;&gt;0,VLOOKUP($A246,Liste!$A$10:$W$59,11,FALSE),"")</f>
        <v>0</v>
      </c>
      <c r="F250" s="172"/>
      <c r="G250" s="82"/>
      <c r="H250" s="82"/>
      <c r="I250" s="82"/>
      <c r="J250" s="82"/>
      <c r="K250" s="82"/>
      <c r="L250" s="89"/>
      <c r="M250" s="83"/>
    </row>
    <row r="251" spans="1:13" ht="13.8" thickBot="1" x14ac:dyDescent="0.3">
      <c r="A251" s="115" t="str">
        <f>IF($A246&lt;&gt;0,"Lot " &amp; VLOOKUP($A246,Liste!$A$10:$W$59,12,FALSE),"")</f>
        <v xml:space="preserve">Lot </v>
      </c>
      <c r="B251" s="202">
        <f>IF($A246&lt;&gt;0,VLOOKUP($A246,Liste!$A$10:$W$59,13,FALSE),"")</f>
        <v>0</v>
      </c>
      <c r="C251" s="110">
        <f>IF($A246&lt;&gt;0,VLOOKUP($A246,Liste!$A$10:$W$59,14,FALSE),"")</f>
        <v>0</v>
      </c>
      <c r="D251" s="111"/>
      <c r="E251" s="116"/>
      <c r="F251" s="173"/>
      <c r="G251" s="122"/>
      <c r="H251" s="122"/>
      <c r="I251" s="122"/>
      <c r="J251" s="122"/>
      <c r="K251" s="122"/>
      <c r="L251" s="128"/>
      <c r="M251" s="83"/>
    </row>
    <row r="252" spans="1:13" x14ac:dyDescent="0.25">
      <c r="A252" s="192" t="str">
        <f>IF($A246&lt;&gt;0,"Lot " &amp; VLOOKUP($A246,Liste!$A$10:$W$59,15,FALSE),"")</f>
        <v xml:space="preserve">Lot </v>
      </c>
      <c r="B252" s="202">
        <f>IF($A246&lt;&gt;0,VLOOKUP($A246,Liste!$A$10:$W$59,16,FALSE),"")</f>
        <v>0</v>
      </c>
      <c r="C252" s="119">
        <f>IF($A246&lt;&gt;0,VLOOKUP($A246,Liste!$A$10:$W$59,17,FALSE),"")</f>
        <v>0</v>
      </c>
      <c r="D252" s="119"/>
      <c r="E252" s="125"/>
      <c r="F252" s="172"/>
      <c r="G252" s="168" t="s">
        <v>159</v>
      </c>
      <c r="H252" s="174" t="s">
        <v>160</v>
      </c>
      <c r="I252" s="84"/>
      <c r="J252" s="84"/>
      <c r="K252" s="84"/>
      <c r="L252" s="108"/>
      <c r="M252" s="83"/>
    </row>
    <row r="253" spans="1:13" x14ac:dyDescent="0.25">
      <c r="A253" s="192" t="str">
        <f>IF($A246&lt;&gt;0,"Lot " &amp; VLOOKUP($A246,Liste!$A$10:$W$59,18,FALSE),"")</f>
        <v xml:space="preserve">Lot </v>
      </c>
      <c r="B253" s="202">
        <f>IF($A246&lt;&gt;0,VLOOKUP($A246,Liste!$A$10:$W$59,19,FALSE),"")</f>
        <v>0</v>
      </c>
      <c r="C253" s="119">
        <f>IF($A246&lt;&gt;0,VLOOKUP($A246,Liste!$A$10:$W$59,20,FALSE),"")</f>
        <v>0</v>
      </c>
      <c r="F253" s="172"/>
      <c r="G253" s="169" t="s">
        <v>161</v>
      </c>
      <c r="H253" s="174" t="s">
        <v>160</v>
      </c>
      <c r="I253" s="167"/>
      <c r="J253" s="167"/>
      <c r="K253" s="167"/>
      <c r="L253" s="176"/>
      <c r="M253" s="83"/>
    </row>
    <row r="254" spans="1:13" ht="18" thickBot="1" x14ac:dyDescent="0.3">
      <c r="A254" s="193" t="str">
        <f>IF($A246&lt;&gt;0,"Lot " &amp; VLOOKUP($A246,Liste!$A$10:$W$59,21,FALSE),"")</f>
        <v xml:space="preserve">Lot </v>
      </c>
      <c r="B254" s="203">
        <f>IF($A246&lt;&gt;0,VLOOKUP($A246,Liste!$A$10:$W$59,22,FALSE),"")</f>
        <v>0</v>
      </c>
      <c r="C254" s="123">
        <f>IF($A246&lt;&gt;0,VLOOKUP($A246,Liste!$A$10:$W$59,23,FALSE),"")</f>
        <v>0</v>
      </c>
      <c r="D254" s="122"/>
      <c r="E254" s="122"/>
      <c r="F254" s="213"/>
      <c r="G254" s="226" t="str">
        <f>IF(OR(B247=0,VLOOKUP(A246,Liste!$A$10:'Liste'!$Z$59,26)&lt;&gt;""),"", "Voir autorisation messages électroniques")</f>
        <v/>
      </c>
      <c r="H254" s="226"/>
      <c r="I254" s="226"/>
      <c r="J254" s="122"/>
      <c r="K254" s="122"/>
      <c r="L254" s="128"/>
      <c r="M254" s="83"/>
    </row>
    <row r="255" spans="1:13" ht="18.75" customHeight="1" x14ac:dyDescent="0.25">
      <c r="A255" s="120">
        <f>A246+1</f>
        <v>27</v>
      </c>
      <c r="B255" s="204"/>
      <c r="C255" s="82"/>
      <c r="D255" s="82"/>
      <c r="E255" s="82"/>
      <c r="F255" s="183"/>
      <c r="G255" s="181" t="s">
        <v>162</v>
      </c>
      <c r="H255" s="166"/>
      <c r="I255" s="166"/>
      <c r="J255" s="166"/>
      <c r="K255" s="166"/>
      <c r="L255" s="175"/>
      <c r="M255" s="83"/>
    </row>
    <row r="256" spans="1:13" ht="18" thickBot="1" x14ac:dyDescent="0.35">
      <c r="A256" s="83">
        <f>IF($A255&lt;&gt;0,VLOOKUP($A255,Liste!$A$10:$W$59,3,FALSE),"")</f>
        <v>0</v>
      </c>
      <c r="B256" s="201">
        <f>IF($A255&lt;&gt;0,VLOOKUP($A255,Liste!$A$10:$W$59,4,FALSE),"")</f>
        <v>0</v>
      </c>
      <c r="E256" s="109" t="str">
        <f>IF($A255&lt;&gt;0,VLOOKUP($A255,Liste!$A$10:$W$59,8,FALSE),"")</f>
        <v/>
      </c>
      <c r="F256" s="184"/>
      <c r="G256" s="182" t="s">
        <v>158</v>
      </c>
      <c r="H256" s="106"/>
      <c r="I256" s="106"/>
      <c r="J256" s="106"/>
      <c r="K256" s="106"/>
      <c r="L256" s="26"/>
      <c r="M256" s="83"/>
    </row>
    <row r="257" spans="1:13" x14ac:dyDescent="0.25">
      <c r="A257" s="114">
        <f>IF($A255&lt;&gt;0,VLOOKUP($A255,Liste!$A$10:$W$59,5,FALSE),"")</f>
        <v>0</v>
      </c>
      <c r="B257" s="83"/>
      <c r="F257" s="170"/>
      <c r="G257" s="171" t="s">
        <v>163</v>
      </c>
      <c r="H257" s="171"/>
      <c r="I257" s="171"/>
      <c r="J257" s="171"/>
      <c r="K257" s="171"/>
      <c r="L257" s="127"/>
      <c r="M257" s="83"/>
    </row>
    <row r="258" spans="1:13" x14ac:dyDescent="0.25">
      <c r="A258" s="114">
        <f>IF($A255&lt;&gt;0,VLOOKUP($A255,Liste!$A$10:$W$59,6,FALSE),"")</f>
        <v>0</v>
      </c>
      <c r="B258" s="114">
        <f>IF($A255&lt;&gt;0,VLOOKUP($A255,Liste!$A$10:$W$59,7,FALSE),"")</f>
        <v>0</v>
      </c>
      <c r="F258" s="172"/>
      <c r="G258" s="82"/>
      <c r="H258" s="82"/>
      <c r="I258" s="82"/>
      <c r="J258" s="82"/>
      <c r="K258" s="82"/>
      <c r="L258" s="89"/>
      <c r="M258" s="83"/>
    </row>
    <row r="259" spans="1:13" x14ac:dyDescent="0.25">
      <c r="A259" s="115" t="str">
        <f xml:space="preserve"> IF($A255&lt;&gt;0, "Lot " &amp; VLOOKUP($A255,Liste!$A$10:$W$59,9,FALSE),"")</f>
        <v xml:space="preserve">Lot </v>
      </c>
      <c r="B259" s="202">
        <f>IF($A255&lt;&gt;0,VLOOKUP($A255,Liste!$A$10:$W$59,10,FALSE),"")</f>
        <v>0</v>
      </c>
      <c r="C259" s="110">
        <f>IF($A255&lt;&gt;0,VLOOKUP($A255,Liste!$A$10:$W$59,11,FALSE),"")</f>
        <v>0</v>
      </c>
      <c r="F259" s="172"/>
      <c r="G259" s="82"/>
      <c r="H259" s="82"/>
      <c r="I259" s="82"/>
      <c r="J259" s="82"/>
      <c r="K259" s="82"/>
      <c r="L259" s="89"/>
      <c r="M259" s="83"/>
    </row>
    <row r="260" spans="1:13" ht="13.8" thickBot="1" x14ac:dyDescent="0.3">
      <c r="A260" s="115" t="str">
        <f>IF($A255&lt;&gt;0,"Lot " &amp; VLOOKUP($A255,Liste!$A$10:$W$59,12,FALSE),"")</f>
        <v xml:space="preserve">Lot </v>
      </c>
      <c r="B260" s="202">
        <f>IF($A255&lt;&gt;0,VLOOKUP($A255,Liste!$A$10:$W$59,13,FALSE),"")</f>
        <v>0</v>
      </c>
      <c r="C260" s="110">
        <f>IF($A255&lt;&gt;0,VLOOKUP($A255,Liste!$A$10:$W$59,14,FALSE),"")</f>
        <v>0</v>
      </c>
      <c r="D260" s="111"/>
      <c r="E260" s="116"/>
      <c r="F260" s="173"/>
      <c r="G260" s="122"/>
      <c r="H260" s="122"/>
      <c r="I260" s="122"/>
      <c r="J260" s="122"/>
      <c r="K260" s="122"/>
      <c r="L260" s="128"/>
      <c r="M260" s="83"/>
    </row>
    <row r="261" spans="1:13" x14ac:dyDescent="0.25">
      <c r="A261" s="192" t="str">
        <f>IF($A255&lt;&gt;0,"Lot " &amp; VLOOKUP($A255,Liste!$A$10:$W$59,15,FALSE),"")</f>
        <v xml:space="preserve">Lot </v>
      </c>
      <c r="B261" s="202">
        <f>IF($A255&lt;&gt;0,VLOOKUP($A255,Liste!$A$10:$W$59,16,FALSE),"")</f>
        <v>0</v>
      </c>
      <c r="C261" s="119">
        <f>IF($A255&lt;&gt;0,VLOOKUP($A255,Liste!$A$10:$W$59,17,FALSE),"")</f>
        <v>0</v>
      </c>
      <c r="D261" s="119"/>
      <c r="E261" s="125"/>
      <c r="F261" s="172"/>
      <c r="G261" s="168" t="s">
        <v>159</v>
      </c>
      <c r="H261" s="174" t="s">
        <v>160</v>
      </c>
      <c r="I261" s="84"/>
      <c r="J261" s="84"/>
      <c r="K261" s="84"/>
      <c r="L261" s="108"/>
      <c r="M261" s="83"/>
    </row>
    <row r="262" spans="1:13" x14ac:dyDescent="0.25">
      <c r="A262" s="192" t="str">
        <f>IF($A255&lt;&gt;0,"Lot " &amp; VLOOKUP($A255,Liste!$A$10:$W$59,18,FALSE),"")</f>
        <v xml:space="preserve">Lot </v>
      </c>
      <c r="B262" s="202">
        <f>IF($A255&lt;&gt;0,VLOOKUP($A255,Liste!$A$10:$W$59,19,FALSE),"")</f>
        <v>0</v>
      </c>
      <c r="C262" s="119">
        <f>IF($A255&lt;&gt;0,VLOOKUP($A255,Liste!$A$10:$W$59,20,FALSE),"")</f>
        <v>0</v>
      </c>
      <c r="F262" s="172"/>
      <c r="G262" s="169" t="s">
        <v>161</v>
      </c>
      <c r="H262" s="174" t="s">
        <v>160</v>
      </c>
      <c r="I262" s="167"/>
      <c r="J262" s="167"/>
      <c r="K262" s="167"/>
      <c r="L262" s="176"/>
      <c r="M262" s="83"/>
    </row>
    <row r="263" spans="1:13" ht="18" thickBot="1" x14ac:dyDescent="0.3">
      <c r="A263" s="193" t="str">
        <f>IF($A255&lt;&gt;0,"Lot " &amp; VLOOKUP($A255,Liste!$A$10:$W$59,21,FALSE),"")</f>
        <v xml:space="preserve">Lot </v>
      </c>
      <c r="B263" s="203">
        <f>IF($A255&lt;&gt;0,VLOOKUP($A255,Liste!$A$10:$W$59,22,FALSE),"")</f>
        <v>0</v>
      </c>
      <c r="C263" s="123">
        <f>IF($A255&lt;&gt;0,VLOOKUP($A255,Liste!$A$10:$W$59,23,FALSE),"")</f>
        <v>0</v>
      </c>
      <c r="D263" s="122"/>
      <c r="E263" s="122"/>
      <c r="F263" s="213"/>
      <c r="G263" s="226" t="str">
        <f>IF(OR(B256=0,VLOOKUP(A255,Liste!$A$10:'Liste'!$Z$59,26)&lt;&gt;""),"", "Voir autorisation messages électroniques")</f>
        <v/>
      </c>
      <c r="H263" s="226"/>
      <c r="I263" s="226"/>
      <c r="J263" s="122"/>
      <c r="K263" s="122"/>
      <c r="L263" s="128"/>
      <c r="M263" s="83"/>
    </row>
    <row r="264" spans="1:13" ht="17.25" customHeight="1" x14ac:dyDescent="0.25">
      <c r="A264" s="120">
        <f>A255+1</f>
        <v>28</v>
      </c>
      <c r="B264" s="204"/>
      <c r="C264" s="82"/>
      <c r="D264" s="82"/>
      <c r="E264" s="82"/>
      <c r="F264" s="183"/>
      <c r="G264" s="181" t="s">
        <v>162</v>
      </c>
      <c r="H264" s="166"/>
      <c r="I264" s="166"/>
      <c r="J264" s="166"/>
      <c r="K264" s="166"/>
      <c r="L264" s="175"/>
      <c r="M264" s="83"/>
    </row>
    <row r="265" spans="1:13" ht="18" thickBot="1" x14ac:dyDescent="0.35">
      <c r="A265" s="83">
        <f>IF($A264&lt;&gt;0,VLOOKUP($A264,Liste!$A$10:$W$59,3,FALSE),"")</f>
        <v>0</v>
      </c>
      <c r="B265" s="201">
        <f>IF($A264&lt;&gt;0,VLOOKUP($A264,Liste!$A$10:$W$59,4,FALSE),"")</f>
        <v>0</v>
      </c>
      <c r="E265" s="109" t="str">
        <f>IF($A264&lt;&gt;0,VLOOKUP($A264,Liste!$A$10:$W$59,8,FALSE),"")</f>
        <v/>
      </c>
      <c r="F265" s="184"/>
      <c r="G265" s="182" t="s">
        <v>158</v>
      </c>
      <c r="H265" s="106"/>
      <c r="I265" s="106"/>
      <c r="J265" s="106"/>
      <c r="K265" s="106"/>
      <c r="L265" s="26"/>
      <c r="M265" s="83"/>
    </row>
    <row r="266" spans="1:13" x14ac:dyDescent="0.25">
      <c r="A266" s="114">
        <f>IF($A264&lt;&gt;0,VLOOKUP($A264,Liste!$A$10:$W$59,5,FALSE),"")</f>
        <v>0</v>
      </c>
      <c r="B266" s="83"/>
      <c r="F266" s="170"/>
      <c r="G266" s="171" t="s">
        <v>163</v>
      </c>
      <c r="H266" s="171"/>
      <c r="I266" s="171"/>
      <c r="J266" s="171"/>
      <c r="K266" s="171"/>
      <c r="L266" s="127"/>
      <c r="M266" s="83"/>
    </row>
    <row r="267" spans="1:13" x14ac:dyDescent="0.25">
      <c r="A267" s="114">
        <f>IF($A264&lt;&gt;0,VLOOKUP($A264,Liste!$A$10:$W$59,6,FALSE),"")</f>
        <v>0</v>
      </c>
      <c r="B267" s="114">
        <f>IF($A264&lt;&gt;0,VLOOKUP($A264,Liste!$A$10:$W$59,7,FALSE),"")</f>
        <v>0</v>
      </c>
      <c r="F267" s="172"/>
      <c r="G267" s="82"/>
      <c r="H267" s="82"/>
      <c r="I267" s="82"/>
      <c r="J267" s="82"/>
      <c r="K267" s="82"/>
      <c r="L267" s="89"/>
      <c r="M267" s="83"/>
    </row>
    <row r="268" spans="1:13" x14ac:dyDescent="0.25">
      <c r="A268" s="115" t="str">
        <f xml:space="preserve"> IF($A264&lt;&gt;0, "Lot " &amp; VLOOKUP($A264,Liste!$A$10:$W$59,9,FALSE),"")</f>
        <v xml:space="preserve">Lot </v>
      </c>
      <c r="B268" s="202">
        <f>IF($A264&lt;&gt;0,VLOOKUP($A264,Liste!$A$10:$W$59,10,FALSE),"")</f>
        <v>0</v>
      </c>
      <c r="C268" s="110">
        <f>IF($A264&lt;&gt;0,VLOOKUP($A264,Liste!$A$10:$W$59,11,FALSE),"")</f>
        <v>0</v>
      </c>
      <c r="F268" s="172"/>
      <c r="G268" s="82"/>
      <c r="H268" s="82"/>
      <c r="I268" s="82"/>
      <c r="J268" s="82"/>
      <c r="K268" s="82"/>
      <c r="L268" s="89"/>
      <c r="M268" s="83"/>
    </row>
    <row r="269" spans="1:13" ht="13.8" thickBot="1" x14ac:dyDescent="0.3">
      <c r="A269" s="115" t="str">
        <f>IF($A264&lt;&gt;0,"Lot " &amp; VLOOKUP($A264,Liste!$A$10:$W$59,12,FALSE),"")</f>
        <v xml:space="preserve">Lot </v>
      </c>
      <c r="B269" s="202">
        <f>IF($A264&lt;&gt;0,VLOOKUP($A264,Liste!$A$10:$W$59,13,FALSE),"")</f>
        <v>0</v>
      </c>
      <c r="C269" s="110">
        <f>IF($A264&lt;&gt;0,VLOOKUP($A264,Liste!$A$10:$W$59,14,FALSE),"")</f>
        <v>0</v>
      </c>
      <c r="D269" s="111"/>
      <c r="E269" s="116"/>
      <c r="F269" s="173"/>
      <c r="G269" s="122"/>
      <c r="H269" s="122"/>
      <c r="I269" s="122"/>
      <c r="J269" s="122"/>
      <c r="K269" s="122"/>
      <c r="L269" s="128"/>
      <c r="M269" s="83"/>
    </row>
    <row r="270" spans="1:13" x14ac:dyDescent="0.25">
      <c r="A270" s="192" t="str">
        <f>IF($A264&lt;&gt;0,"Lot " &amp; VLOOKUP($A264,Liste!$A$10:$W$59,15,FALSE),"")</f>
        <v xml:space="preserve">Lot </v>
      </c>
      <c r="B270" s="202">
        <f>IF($A264&lt;&gt;0,VLOOKUP($A264,Liste!$A$10:$W$59,16,FALSE),"")</f>
        <v>0</v>
      </c>
      <c r="C270" s="119">
        <f>IF($A264&lt;&gt;0,VLOOKUP($A264,Liste!$A$10:$W$59,17,FALSE),"")</f>
        <v>0</v>
      </c>
      <c r="D270" s="119"/>
      <c r="E270" s="125"/>
      <c r="F270" s="172"/>
      <c r="G270" s="168" t="s">
        <v>159</v>
      </c>
      <c r="H270" s="174" t="s">
        <v>160</v>
      </c>
      <c r="I270" s="84"/>
      <c r="J270" s="84"/>
      <c r="K270" s="84"/>
      <c r="L270" s="108"/>
      <c r="M270" s="83"/>
    </row>
    <row r="271" spans="1:13" x14ac:dyDescent="0.25">
      <c r="A271" s="192" t="str">
        <f>IF($A264&lt;&gt;0,"Lot " &amp; VLOOKUP($A264,Liste!$A$10:$W$59,18,FALSE),"")</f>
        <v xml:space="preserve">Lot </v>
      </c>
      <c r="B271" s="202">
        <f>IF($A264&lt;&gt;0,VLOOKUP($A264,Liste!$A$10:$W$59,19,FALSE),"")</f>
        <v>0</v>
      </c>
      <c r="C271" s="119">
        <f>IF($A264&lt;&gt;0,VLOOKUP($A264,Liste!$A$10:$W$59,20,FALSE),"")</f>
        <v>0</v>
      </c>
      <c r="F271" s="172"/>
      <c r="G271" s="169" t="s">
        <v>161</v>
      </c>
      <c r="H271" s="174" t="s">
        <v>160</v>
      </c>
      <c r="I271" s="167"/>
      <c r="J271" s="167"/>
      <c r="K271" s="167"/>
      <c r="L271" s="176"/>
      <c r="M271" s="83"/>
    </row>
    <row r="272" spans="1:13" ht="18" thickBot="1" x14ac:dyDescent="0.3">
      <c r="A272" s="193" t="str">
        <f>IF($A264&lt;&gt;0,"Lot " &amp; VLOOKUP($A264,Liste!$A$10:$W$59,21,FALSE),"")</f>
        <v xml:space="preserve">Lot </v>
      </c>
      <c r="B272" s="203">
        <f>IF($A264&lt;&gt;0,VLOOKUP($A264,Liste!$A$10:$W$59,22,FALSE),"")</f>
        <v>0</v>
      </c>
      <c r="C272" s="123">
        <f>IF($A264&lt;&gt;0,VLOOKUP($A264,Liste!$A$10:$W$59,23,FALSE),"")</f>
        <v>0</v>
      </c>
      <c r="D272" s="122"/>
      <c r="E272" s="122"/>
      <c r="F272" s="213"/>
      <c r="G272" s="226" t="str">
        <f>IF(OR(B265=0,VLOOKUP(A264,Liste!$A$10:'Liste'!$Z$59,26)&lt;&gt;""),"", "Voir autorisation messages électroniques")</f>
        <v/>
      </c>
      <c r="H272" s="226"/>
      <c r="I272" s="226"/>
      <c r="J272" s="122"/>
      <c r="K272" s="122"/>
      <c r="L272" s="128"/>
      <c r="M272" s="83"/>
    </row>
    <row r="273" spans="1:13" ht="17.25" customHeight="1" x14ac:dyDescent="0.25">
      <c r="A273" s="120">
        <f>A264+1</f>
        <v>29</v>
      </c>
      <c r="B273" s="204"/>
      <c r="C273" s="82"/>
      <c r="D273" s="82"/>
      <c r="E273" s="82"/>
      <c r="F273" s="183"/>
      <c r="G273" s="181" t="s">
        <v>162</v>
      </c>
      <c r="H273" s="166"/>
      <c r="I273" s="166"/>
      <c r="J273" s="166"/>
      <c r="K273" s="166"/>
      <c r="L273" s="175"/>
      <c r="M273" s="83"/>
    </row>
    <row r="274" spans="1:13" ht="18" thickBot="1" x14ac:dyDescent="0.35">
      <c r="A274" s="83">
        <f>IF($A273&lt;&gt;0,VLOOKUP($A273,Liste!$A$10:$W$59,3,FALSE),"")</f>
        <v>0</v>
      </c>
      <c r="B274" s="201">
        <f>IF($A273&lt;&gt;0,VLOOKUP($A273,Liste!$A$10:$W$59,4,FALSE),"")</f>
        <v>0</v>
      </c>
      <c r="E274" s="109" t="str">
        <f>IF($A273&lt;&gt;0,VLOOKUP($A273,Liste!$A$10:$W$59,8,FALSE),"")</f>
        <v/>
      </c>
      <c r="F274" s="184"/>
      <c r="G274" s="182" t="s">
        <v>158</v>
      </c>
      <c r="H274" s="106"/>
      <c r="I274" s="106"/>
      <c r="J274" s="106"/>
      <c r="K274" s="106"/>
      <c r="L274" s="26"/>
      <c r="M274" s="83"/>
    </row>
    <row r="275" spans="1:13" x14ac:dyDescent="0.25">
      <c r="A275" s="114">
        <f>IF($A273&lt;&gt;0,VLOOKUP($A273,Liste!$A$10:$W$59,5,FALSE),"")</f>
        <v>0</v>
      </c>
      <c r="B275" s="83"/>
      <c r="F275" s="170"/>
      <c r="G275" s="171" t="s">
        <v>163</v>
      </c>
      <c r="H275" s="171"/>
      <c r="I275" s="171"/>
      <c r="J275" s="171"/>
      <c r="K275" s="171"/>
      <c r="L275" s="127"/>
      <c r="M275" s="83"/>
    </row>
    <row r="276" spans="1:13" x14ac:dyDescent="0.25">
      <c r="A276" s="114">
        <f>IF($A273&lt;&gt;0,VLOOKUP($A273,Liste!$A$10:$W$59,6,FALSE),"")</f>
        <v>0</v>
      </c>
      <c r="B276" s="114">
        <f>IF($A273&lt;&gt;0,VLOOKUP($A273,Liste!$A$10:$W$59,7,FALSE),"")</f>
        <v>0</v>
      </c>
      <c r="F276" s="172"/>
      <c r="G276" s="82"/>
      <c r="H276" s="82"/>
      <c r="I276" s="82"/>
      <c r="J276" s="82"/>
      <c r="K276" s="82"/>
      <c r="L276" s="89"/>
      <c r="M276" s="83"/>
    </row>
    <row r="277" spans="1:13" x14ac:dyDescent="0.25">
      <c r="A277" s="115" t="str">
        <f xml:space="preserve"> IF($A273&lt;&gt;0, "Lot " &amp; VLOOKUP($A273,Liste!$A$10:$W$59,9,FALSE),"")</f>
        <v xml:space="preserve">Lot </v>
      </c>
      <c r="B277" s="202">
        <f>IF($A273&lt;&gt;0,VLOOKUP($A273,Liste!$A$10:$W$59,10,FALSE),"")</f>
        <v>0</v>
      </c>
      <c r="C277" s="110">
        <f>IF($A273&lt;&gt;0,VLOOKUP($A273,Liste!$A$10:$W$59,11,FALSE),"")</f>
        <v>0</v>
      </c>
      <c r="F277" s="172"/>
      <c r="G277" s="82"/>
      <c r="H277" s="82"/>
      <c r="I277" s="82"/>
      <c r="J277" s="82"/>
      <c r="K277" s="82"/>
      <c r="L277" s="89"/>
      <c r="M277" s="83"/>
    </row>
    <row r="278" spans="1:13" ht="13.8" thickBot="1" x14ac:dyDescent="0.3">
      <c r="A278" s="115" t="str">
        <f>IF($A273&lt;&gt;0,"Lot " &amp; VLOOKUP($A273,Liste!$A$10:$W$59,12,FALSE),"")</f>
        <v xml:space="preserve">Lot </v>
      </c>
      <c r="B278" s="202">
        <f>IF($A273&lt;&gt;0,VLOOKUP($A273,Liste!$A$10:$W$59,13,FALSE),"")</f>
        <v>0</v>
      </c>
      <c r="C278" s="110">
        <f>IF($A273&lt;&gt;0,VLOOKUP($A273,Liste!$A$10:$W$59,14,FALSE),"")</f>
        <v>0</v>
      </c>
      <c r="D278" s="111"/>
      <c r="E278" s="116"/>
      <c r="F278" s="173"/>
      <c r="G278" s="122"/>
      <c r="H278" s="122"/>
      <c r="I278" s="122"/>
      <c r="J278" s="122"/>
      <c r="K278" s="122"/>
      <c r="L278" s="128"/>
      <c r="M278" s="83"/>
    </row>
    <row r="279" spans="1:13" x14ac:dyDescent="0.25">
      <c r="A279" s="192" t="str">
        <f>IF($A273&lt;&gt;0,"Lot " &amp; VLOOKUP($A273,Liste!$A$10:$W$59,15,FALSE),"")</f>
        <v xml:space="preserve">Lot </v>
      </c>
      <c r="B279" s="202">
        <f>IF($A273&lt;&gt;0,VLOOKUP($A273,Liste!$A$10:$W$59,16,FALSE),"")</f>
        <v>0</v>
      </c>
      <c r="C279" s="119">
        <f>IF($A273&lt;&gt;0,VLOOKUP($A273,Liste!$A$10:$W$59,17,FALSE),"")</f>
        <v>0</v>
      </c>
      <c r="D279" s="119"/>
      <c r="E279" s="125"/>
      <c r="F279" s="172"/>
      <c r="G279" s="168" t="s">
        <v>159</v>
      </c>
      <c r="H279" s="174" t="s">
        <v>160</v>
      </c>
      <c r="I279" s="84"/>
      <c r="J279" s="84"/>
      <c r="K279" s="84"/>
      <c r="L279" s="108"/>
      <c r="M279" s="83"/>
    </row>
    <row r="280" spans="1:13" x14ac:dyDescent="0.25">
      <c r="A280" s="192" t="str">
        <f>IF($A273&lt;&gt;0,"Lot " &amp; VLOOKUP($A273,Liste!$A$10:$W$59,18,FALSE),"")</f>
        <v xml:space="preserve">Lot </v>
      </c>
      <c r="B280" s="202">
        <f>IF($A273&lt;&gt;0,VLOOKUP($A273,Liste!$A$10:$W$59,19,FALSE),"")</f>
        <v>0</v>
      </c>
      <c r="C280" s="119">
        <f>IF($A273&lt;&gt;0,VLOOKUP($A273,Liste!$A$10:$W$59,20,FALSE),"")</f>
        <v>0</v>
      </c>
      <c r="F280" s="172"/>
      <c r="G280" s="169" t="s">
        <v>161</v>
      </c>
      <c r="H280" s="174" t="s">
        <v>160</v>
      </c>
      <c r="I280" s="167"/>
      <c r="J280" s="167"/>
      <c r="K280" s="167"/>
      <c r="L280" s="176"/>
      <c r="M280" s="83"/>
    </row>
    <row r="281" spans="1:13" ht="18" thickBot="1" x14ac:dyDescent="0.3">
      <c r="A281" s="193" t="str">
        <f>IF($A273&lt;&gt;0,"Lot " &amp; VLOOKUP($A273,Liste!$A$10:$W$59,21,FALSE),"")</f>
        <v xml:space="preserve">Lot </v>
      </c>
      <c r="B281" s="203">
        <f>IF($A273&lt;&gt;0,VLOOKUP($A273,Liste!$A$10:$W$59,22,FALSE),"")</f>
        <v>0</v>
      </c>
      <c r="C281" s="123">
        <f>IF($A273&lt;&gt;0,VLOOKUP($A273,Liste!$A$10:$W$59,23,FALSE),"")</f>
        <v>0</v>
      </c>
      <c r="D281" s="122"/>
      <c r="E281" s="122"/>
      <c r="F281" s="213"/>
      <c r="G281" s="226" t="str">
        <f>IF(OR(B274=0,VLOOKUP(A273,Liste!$A$10:'Liste'!$Z$59,26)&lt;&gt;""),"", "Voir autorisation messages électroniques")</f>
        <v/>
      </c>
      <c r="H281" s="226"/>
      <c r="I281" s="226"/>
      <c r="J281" s="122"/>
      <c r="K281" s="122"/>
      <c r="L281" s="128"/>
      <c r="M281" s="83"/>
    </row>
    <row r="282" spans="1:13" ht="16.5" customHeight="1" x14ac:dyDescent="0.25">
      <c r="A282" s="120">
        <f>A273+1</f>
        <v>30</v>
      </c>
      <c r="B282" s="204"/>
      <c r="C282" s="82"/>
      <c r="D282" s="82"/>
      <c r="E282" s="82"/>
      <c r="F282" s="183"/>
      <c r="G282" s="181" t="s">
        <v>162</v>
      </c>
      <c r="H282" s="166"/>
      <c r="I282" s="166"/>
      <c r="J282" s="166"/>
      <c r="K282" s="166"/>
      <c r="L282" s="175"/>
      <c r="M282" s="83"/>
    </row>
    <row r="283" spans="1:13" ht="18" thickBot="1" x14ac:dyDescent="0.35">
      <c r="A283" s="83" t="str">
        <f>IF($A282&lt;&gt;0,VLOOKUP($A282,Liste!$A$10:$W$59,3,FALSE),"")</f>
        <v>Monsieur</v>
      </c>
      <c r="B283" s="201">
        <f>IF($A282&lt;&gt;0,VLOOKUP($A282,Liste!$A$10:$W$59,4,FALSE),"")</f>
        <v>0</v>
      </c>
      <c r="E283" s="109" t="str">
        <f>IF($A282&lt;&gt;0,VLOOKUP($A282,Liste!$A$10:$W$59,8,FALSE),"")</f>
        <v/>
      </c>
      <c r="F283" s="184"/>
      <c r="G283" s="182" t="s">
        <v>158</v>
      </c>
      <c r="H283" s="106"/>
      <c r="I283" s="106"/>
      <c r="J283" s="106"/>
      <c r="K283" s="106"/>
      <c r="L283" s="26"/>
      <c r="M283" s="83"/>
    </row>
    <row r="284" spans="1:13" x14ac:dyDescent="0.25">
      <c r="A284" s="114">
        <f>IF($A282&lt;&gt;0,VLOOKUP($A282,Liste!$A$10:$W$59,5,FALSE),"")</f>
        <v>0</v>
      </c>
      <c r="B284" s="83"/>
      <c r="F284" s="170"/>
      <c r="G284" s="171" t="s">
        <v>163</v>
      </c>
      <c r="H284" s="171"/>
      <c r="I284" s="171"/>
      <c r="J284" s="171"/>
      <c r="K284" s="171"/>
      <c r="L284" s="127"/>
      <c r="M284" s="83"/>
    </row>
    <row r="285" spans="1:13" x14ac:dyDescent="0.25">
      <c r="A285" s="114">
        <f>IF($A282&lt;&gt;0,VLOOKUP($A282,Liste!$A$10:$W$59,6,FALSE),"")</f>
        <v>0</v>
      </c>
      <c r="B285" s="114">
        <f>IF($A282&lt;&gt;0,VLOOKUP($A282,Liste!$A$10:$W$59,7,FALSE),"")</f>
        <v>0</v>
      </c>
      <c r="F285" s="172"/>
      <c r="G285" s="82"/>
      <c r="H285" s="82"/>
      <c r="I285" s="82"/>
      <c r="J285" s="82"/>
      <c r="K285" s="82"/>
      <c r="L285" s="89"/>
      <c r="M285" s="83"/>
    </row>
    <row r="286" spans="1:13" x14ac:dyDescent="0.25">
      <c r="A286" s="115" t="str">
        <f xml:space="preserve"> IF($A282&lt;&gt;0, "Lot " &amp; VLOOKUP($A282,Liste!$A$10:$W$59,9,FALSE),"")</f>
        <v xml:space="preserve">Lot </v>
      </c>
      <c r="B286" s="202">
        <f>IF($A282&lt;&gt;0,VLOOKUP($A282,Liste!$A$10:$W$59,10,FALSE),"")</f>
        <v>0</v>
      </c>
      <c r="C286" s="110">
        <f>IF($A282&lt;&gt;0,VLOOKUP($A282,Liste!$A$10:$W$59,11,FALSE),"")</f>
        <v>0</v>
      </c>
      <c r="F286" s="172"/>
      <c r="G286" s="82"/>
      <c r="H286" s="82"/>
      <c r="I286" s="82"/>
      <c r="J286" s="82"/>
      <c r="K286" s="82"/>
      <c r="L286" s="89"/>
      <c r="M286" s="83"/>
    </row>
    <row r="287" spans="1:13" ht="13.8" thickBot="1" x14ac:dyDescent="0.3">
      <c r="A287" s="115" t="str">
        <f>IF($A282&lt;&gt;0,"Lot " &amp; VLOOKUP($A282,Liste!$A$10:$W$59,12,FALSE),"")</f>
        <v xml:space="preserve">Lot </v>
      </c>
      <c r="B287" s="202">
        <f>IF($A282&lt;&gt;0,VLOOKUP($A282,Liste!$A$10:$W$59,13,FALSE),"")</f>
        <v>0</v>
      </c>
      <c r="C287" s="110">
        <f>IF($A282&lt;&gt;0,VLOOKUP($A282,Liste!$A$10:$W$59,14,FALSE),"")</f>
        <v>0</v>
      </c>
      <c r="D287" s="111"/>
      <c r="E287" s="116"/>
      <c r="F287" s="173"/>
      <c r="G287" s="122"/>
      <c r="H287" s="122"/>
      <c r="I287" s="122"/>
      <c r="J287" s="122"/>
      <c r="K287" s="122"/>
      <c r="L287" s="128"/>
      <c r="M287" s="83"/>
    </row>
    <row r="288" spans="1:13" x14ac:dyDescent="0.25">
      <c r="A288" s="192" t="str">
        <f>IF($A282&lt;&gt;0,"Lot " &amp; VLOOKUP($A282,Liste!$A$10:$W$59,15,FALSE),"")</f>
        <v xml:space="preserve">Lot </v>
      </c>
      <c r="B288" s="202">
        <f>IF($A282&lt;&gt;0,VLOOKUP($A282,Liste!$A$10:$W$59,16,FALSE),"")</f>
        <v>0</v>
      </c>
      <c r="C288" s="119">
        <f>IF($A282&lt;&gt;0,VLOOKUP($A282,Liste!$A$10:$W$59,17,FALSE),"")</f>
        <v>0</v>
      </c>
      <c r="D288" s="119"/>
      <c r="E288" s="125"/>
      <c r="F288" s="172"/>
      <c r="G288" s="168" t="s">
        <v>159</v>
      </c>
      <c r="H288" s="174" t="s">
        <v>160</v>
      </c>
      <c r="I288" s="84"/>
      <c r="J288" s="84"/>
      <c r="K288" s="84"/>
      <c r="L288" s="108"/>
      <c r="M288" s="83"/>
    </row>
    <row r="289" spans="1:13" x14ac:dyDescent="0.25">
      <c r="A289" s="192" t="str">
        <f>IF($A282&lt;&gt;0,"Lot " &amp; VLOOKUP($A282,Liste!$A$10:$W$59,18,FALSE),"")</f>
        <v xml:space="preserve">Lot </v>
      </c>
      <c r="B289" s="202">
        <f>IF($A282&lt;&gt;0,VLOOKUP($A282,Liste!$A$10:$W$59,19,FALSE),"")</f>
        <v>0</v>
      </c>
      <c r="C289" s="119">
        <f>IF($A282&lt;&gt;0,VLOOKUP($A282,Liste!$A$10:$W$59,20,FALSE),"")</f>
        <v>0</v>
      </c>
      <c r="F289" s="172"/>
      <c r="G289" s="169" t="s">
        <v>161</v>
      </c>
      <c r="H289" s="174" t="s">
        <v>160</v>
      </c>
      <c r="I289" s="167"/>
      <c r="J289" s="167"/>
      <c r="K289" s="167"/>
      <c r="L289" s="176"/>
      <c r="M289" s="83"/>
    </row>
    <row r="290" spans="1:13" ht="18" thickBot="1" x14ac:dyDescent="0.3">
      <c r="A290" s="193" t="str">
        <f>IF($A282&lt;&gt;0,"Lot " &amp; VLOOKUP($A282,Liste!$A$10:$W$59,21,FALSE),"")</f>
        <v xml:space="preserve">Lot </v>
      </c>
      <c r="B290" s="203">
        <f>IF($A282&lt;&gt;0,VLOOKUP($A282,Liste!$A$10:$W$59,22,FALSE),"")</f>
        <v>0</v>
      </c>
      <c r="C290" s="123">
        <f>IF($A282&lt;&gt;0,VLOOKUP($A282,Liste!$A$10:$W$59,23,FALSE),"")</f>
        <v>0</v>
      </c>
      <c r="D290" s="122"/>
      <c r="E290" s="122"/>
      <c r="F290" s="213"/>
      <c r="G290" s="212" t="str">
        <f>IF(OR(B283=0,VLOOKUP(A282,Liste!$A$10:'Liste'!$Z$59,26)&lt;&gt;""),"", "Voir autorisation messages électroniques")</f>
        <v/>
      </c>
      <c r="H290" s="212"/>
      <c r="I290" s="212"/>
      <c r="J290" s="122"/>
      <c r="K290" s="122"/>
      <c r="L290" s="128"/>
      <c r="M290" s="83"/>
    </row>
    <row r="291" spans="1:13" ht="18.75" customHeight="1" x14ac:dyDescent="0.25">
      <c r="A291" s="120">
        <f>A282+1</f>
        <v>31</v>
      </c>
      <c r="B291" s="204"/>
      <c r="C291" s="82"/>
      <c r="D291" s="82"/>
      <c r="E291" s="82"/>
      <c r="F291" s="183"/>
      <c r="G291" s="181" t="s">
        <v>162</v>
      </c>
      <c r="H291" s="166"/>
      <c r="I291" s="166"/>
      <c r="J291" s="166"/>
      <c r="K291" s="166"/>
      <c r="L291" s="175"/>
      <c r="M291" s="83"/>
    </row>
    <row r="292" spans="1:13" ht="18" thickBot="1" x14ac:dyDescent="0.35">
      <c r="A292" s="83">
        <f>IF($A291&lt;&gt;0,VLOOKUP($A291,Liste!$A$10:$W$59,3,FALSE),"")</f>
        <v>0</v>
      </c>
      <c r="B292" s="201">
        <f>IF($A291&lt;&gt;0,VLOOKUP($A291,Liste!$A$10:$W$59,4,FALSE),"")</f>
        <v>0</v>
      </c>
      <c r="E292" s="109" t="str">
        <f>IF($A291&lt;&gt;0,VLOOKUP($A291,Liste!$A$10:$W$59,8,FALSE),"")</f>
        <v/>
      </c>
      <c r="F292" s="184"/>
      <c r="G292" s="182" t="s">
        <v>158</v>
      </c>
      <c r="H292" s="106"/>
      <c r="I292" s="106"/>
      <c r="J292" s="106"/>
      <c r="K292" s="106"/>
      <c r="L292" s="26"/>
      <c r="M292" s="83"/>
    </row>
    <row r="293" spans="1:13" x14ac:dyDescent="0.25">
      <c r="A293" s="114">
        <f>IF($A291&lt;&gt;0,VLOOKUP($A291,Liste!$A$10:$W$59,5,FALSE),"")</f>
        <v>0</v>
      </c>
      <c r="B293" s="83"/>
      <c r="F293" s="170"/>
      <c r="G293" s="171" t="s">
        <v>163</v>
      </c>
      <c r="H293" s="171"/>
      <c r="I293" s="171"/>
      <c r="J293" s="171"/>
      <c r="K293" s="171"/>
      <c r="L293" s="127"/>
      <c r="M293" s="83"/>
    </row>
    <row r="294" spans="1:13" x14ac:dyDescent="0.25">
      <c r="A294" s="114">
        <f>IF($A291&lt;&gt;0,VLOOKUP($A291,Liste!$A$10:$W$59,6,FALSE),"")</f>
        <v>0</v>
      </c>
      <c r="B294" s="114">
        <f>IF($A291&lt;&gt;0,VLOOKUP($A291,Liste!$A$10:$W$59,7,FALSE),"")</f>
        <v>0</v>
      </c>
      <c r="F294" s="172"/>
      <c r="G294" s="82"/>
      <c r="H294" s="82"/>
      <c r="I294" s="82"/>
      <c r="J294" s="82"/>
      <c r="K294" s="82"/>
      <c r="L294" s="89"/>
      <c r="M294" s="83"/>
    </row>
    <row r="295" spans="1:13" x14ac:dyDescent="0.25">
      <c r="A295" s="115" t="str">
        <f xml:space="preserve"> IF($A291&lt;&gt;0, "Lot " &amp; VLOOKUP($A291,Liste!$A$10:$W$59,9,FALSE),"")</f>
        <v xml:space="preserve">Lot </v>
      </c>
      <c r="B295" s="202">
        <f>IF($A291&lt;&gt;0,VLOOKUP($A291,Liste!$A$10:$W$59,10,FALSE),"")</f>
        <v>0</v>
      </c>
      <c r="C295" s="110">
        <f>IF($A291&lt;&gt;0,VLOOKUP($A291,Liste!$A$10:$W$59,11,FALSE),"")</f>
        <v>0</v>
      </c>
      <c r="F295" s="172"/>
      <c r="G295" s="82"/>
      <c r="H295" s="82"/>
      <c r="I295" s="82"/>
      <c r="J295" s="82"/>
      <c r="K295" s="82"/>
      <c r="L295" s="89"/>
      <c r="M295" s="83"/>
    </row>
    <row r="296" spans="1:13" ht="13.8" thickBot="1" x14ac:dyDescent="0.3">
      <c r="A296" s="115" t="str">
        <f>IF($A291&lt;&gt;0,"Lot " &amp; VLOOKUP($A291,Liste!$A$10:$W$59,12,FALSE),"")</f>
        <v xml:space="preserve">Lot </v>
      </c>
      <c r="B296" s="202">
        <f>IF($A291&lt;&gt;0,VLOOKUP($A291,Liste!$A$10:$W$59,13,FALSE),"")</f>
        <v>0</v>
      </c>
      <c r="C296" s="110">
        <f>IF($A291&lt;&gt;0,VLOOKUP($A291,Liste!$A$10:$W$59,14,FALSE),"")</f>
        <v>0</v>
      </c>
      <c r="D296" s="111"/>
      <c r="E296" s="116"/>
      <c r="F296" s="173"/>
      <c r="G296" s="122"/>
      <c r="H296" s="122"/>
      <c r="I296" s="122"/>
      <c r="J296" s="122"/>
      <c r="K296" s="122"/>
      <c r="L296" s="128"/>
      <c r="M296" s="83"/>
    </row>
    <row r="297" spans="1:13" x14ac:dyDescent="0.25">
      <c r="A297" s="192" t="str">
        <f>IF($A291&lt;&gt;0,"Lot " &amp; VLOOKUP($A291,Liste!$A$10:$W$59,15,FALSE),"")</f>
        <v xml:space="preserve">Lot </v>
      </c>
      <c r="B297" s="202">
        <f>IF($A291&lt;&gt;0,VLOOKUP($A291,Liste!$A$10:$W$59,16,FALSE),"")</f>
        <v>0</v>
      </c>
      <c r="C297" s="119">
        <f>IF($A291&lt;&gt;0,VLOOKUP($A291,Liste!$A$10:$W$59,17,FALSE),"")</f>
        <v>0</v>
      </c>
      <c r="D297" s="119"/>
      <c r="E297" s="125"/>
      <c r="F297" s="172"/>
      <c r="G297" s="168" t="s">
        <v>159</v>
      </c>
      <c r="H297" s="174" t="s">
        <v>160</v>
      </c>
      <c r="I297" s="84"/>
      <c r="J297" s="84"/>
      <c r="K297" s="84"/>
      <c r="L297" s="108"/>
      <c r="M297" s="83"/>
    </row>
    <row r="298" spans="1:13" x14ac:dyDescent="0.25">
      <c r="A298" s="192" t="str">
        <f>IF($A291&lt;&gt;0,"Lot " &amp; VLOOKUP($A291,Liste!$A$10:$W$59,18,FALSE),"")</f>
        <v xml:space="preserve">Lot </v>
      </c>
      <c r="B298" s="202">
        <f>IF($A291&lt;&gt;0,VLOOKUP($A291,Liste!$A$10:$W$59,19,FALSE),"")</f>
        <v>0</v>
      </c>
      <c r="C298" s="119">
        <f>IF($A291&lt;&gt;0,VLOOKUP($A291,Liste!$A$10:$W$59,20,FALSE),"")</f>
        <v>0</v>
      </c>
      <c r="F298" s="172"/>
      <c r="G298" s="169" t="s">
        <v>161</v>
      </c>
      <c r="H298" s="174" t="s">
        <v>160</v>
      </c>
      <c r="I298" s="167"/>
      <c r="J298" s="167"/>
      <c r="K298" s="167"/>
      <c r="L298" s="176"/>
      <c r="M298" s="83"/>
    </row>
    <row r="299" spans="1:13" ht="18" thickBot="1" x14ac:dyDescent="0.3">
      <c r="A299" s="193" t="str">
        <f>IF($A291&lt;&gt;0,"Lot " &amp; VLOOKUP($A291,Liste!$A$10:$W$59,21,FALSE),"")</f>
        <v xml:space="preserve">Lot </v>
      </c>
      <c r="B299" s="203">
        <f>IF($A291&lt;&gt;0,VLOOKUP($A291,Liste!$A$10:$W$59,22,FALSE),"")</f>
        <v>0</v>
      </c>
      <c r="C299" s="123">
        <f>IF($A291&lt;&gt;0,VLOOKUP($A291,Liste!$A$10:$W$59,23,FALSE),"")</f>
        <v>0</v>
      </c>
      <c r="D299" s="122"/>
      <c r="E299" s="122"/>
      <c r="F299" s="213"/>
      <c r="G299" s="212" t="str">
        <f>IF(OR(B292=0,VLOOKUP(A291,Liste!$A$10:'Liste'!$Z$59,26)&lt;&gt;""),"", "Voir autorisation messages électroniques")</f>
        <v/>
      </c>
      <c r="H299" s="212"/>
      <c r="I299" s="212"/>
      <c r="J299" s="122"/>
      <c r="K299" s="122"/>
      <c r="L299" s="128"/>
      <c r="M299" s="83"/>
    </row>
    <row r="300" spans="1:13" ht="18.75" customHeight="1" x14ac:dyDescent="0.25">
      <c r="A300" s="120">
        <f>A291+1</f>
        <v>32</v>
      </c>
      <c r="B300" s="204"/>
      <c r="C300" s="82"/>
      <c r="D300" s="82"/>
      <c r="E300" s="82"/>
      <c r="F300" s="183"/>
      <c r="G300" s="181" t="s">
        <v>162</v>
      </c>
      <c r="H300" s="166"/>
      <c r="I300" s="166"/>
      <c r="J300" s="166"/>
      <c r="K300" s="166"/>
      <c r="L300" s="175"/>
      <c r="M300" s="83"/>
    </row>
    <row r="301" spans="1:13" ht="18" thickBot="1" x14ac:dyDescent="0.35">
      <c r="A301" s="83">
        <f>IF($A300&lt;&gt;0,VLOOKUP($A300,Liste!$A$10:$W$59,3,FALSE),"")</f>
        <v>0</v>
      </c>
      <c r="B301" s="201">
        <f>IF($A300&lt;&gt;0,VLOOKUP($A300,Liste!$A$10:$W$59,4,FALSE),"")</f>
        <v>0</v>
      </c>
      <c r="E301" s="109" t="str">
        <f>IF($A300&lt;&gt;0,VLOOKUP($A300,Liste!$A$10:$W$59,8,FALSE),"")</f>
        <v/>
      </c>
      <c r="F301" s="184"/>
      <c r="G301" s="182" t="s">
        <v>158</v>
      </c>
      <c r="H301" s="106"/>
      <c r="I301" s="106"/>
      <c r="J301" s="106"/>
      <c r="K301" s="106"/>
      <c r="L301" s="26"/>
      <c r="M301" s="83"/>
    </row>
    <row r="302" spans="1:13" x14ac:dyDescent="0.25">
      <c r="A302" s="114">
        <f>IF($A300&lt;&gt;0,VLOOKUP($A300,Liste!$A$10:$W$59,5,FALSE),"")</f>
        <v>0</v>
      </c>
      <c r="B302" s="83"/>
      <c r="F302" s="170"/>
      <c r="G302" s="171" t="s">
        <v>163</v>
      </c>
      <c r="H302" s="171"/>
      <c r="I302" s="171"/>
      <c r="J302" s="171"/>
      <c r="K302" s="171"/>
      <c r="L302" s="127"/>
      <c r="M302" s="83"/>
    </row>
    <row r="303" spans="1:13" x14ac:dyDescent="0.25">
      <c r="A303" s="114">
        <f>IF($A300&lt;&gt;0,VLOOKUP($A300,Liste!$A$10:$W$59,6,FALSE),"")</f>
        <v>0</v>
      </c>
      <c r="B303" s="114">
        <f>IF($A300&lt;&gt;0,VLOOKUP($A300,Liste!$A$10:$W$59,7,FALSE),"")</f>
        <v>0</v>
      </c>
      <c r="F303" s="172"/>
      <c r="G303" s="82"/>
      <c r="H303" s="82"/>
      <c r="I303" s="82"/>
      <c r="J303" s="82"/>
      <c r="K303" s="82"/>
      <c r="L303" s="89"/>
      <c r="M303" s="83"/>
    </row>
    <row r="304" spans="1:13" x14ac:dyDescent="0.25">
      <c r="A304" s="115" t="str">
        <f xml:space="preserve"> IF($A300&lt;&gt;0, "Lot " &amp; VLOOKUP($A300,Liste!$A$10:$W$59,9,FALSE),"")</f>
        <v xml:space="preserve">Lot </v>
      </c>
      <c r="B304" s="202">
        <f>IF($A300&lt;&gt;0,VLOOKUP($A300,Liste!$A$10:$W$59,10,FALSE),"")</f>
        <v>0</v>
      </c>
      <c r="C304" s="110">
        <f>IF($A300&lt;&gt;0,VLOOKUP($A300,Liste!$A$10:$W$59,11,FALSE),"")</f>
        <v>0</v>
      </c>
      <c r="F304" s="172"/>
      <c r="G304" s="82"/>
      <c r="H304" s="82"/>
      <c r="I304" s="82"/>
      <c r="J304" s="82"/>
      <c r="K304" s="82"/>
      <c r="L304" s="89"/>
      <c r="M304" s="83"/>
    </row>
    <row r="305" spans="1:13" ht="13.8" thickBot="1" x14ac:dyDescent="0.3">
      <c r="A305" s="115" t="str">
        <f>IF($A300&lt;&gt;0,"Lot " &amp; VLOOKUP($A300,Liste!$A$10:$W$59,12,FALSE),"")</f>
        <v xml:space="preserve">Lot </v>
      </c>
      <c r="B305" s="202">
        <f>IF($A300&lt;&gt;0,VLOOKUP($A300,Liste!$A$10:$W$59,13,FALSE),"")</f>
        <v>0</v>
      </c>
      <c r="C305" s="110">
        <f>IF($A300&lt;&gt;0,VLOOKUP($A300,Liste!$A$10:$W$59,14,FALSE),"")</f>
        <v>0</v>
      </c>
      <c r="D305" s="111"/>
      <c r="E305" s="116"/>
      <c r="F305" s="173"/>
      <c r="G305" s="122"/>
      <c r="H305" s="122"/>
      <c r="I305" s="122"/>
      <c r="J305" s="122"/>
      <c r="K305" s="122"/>
      <c r="L305" s="128"/>
      <c r="M305" s="83"/>
    </row>
    <row r="306" spans="1:13" x14ac:dyDescent="0.25">
      <c r="A306" s="192" t="str">
        <f>IF($A300&lt;&gt;0,"Lot " &amp; VLOOKUP($A300,Liste!$A$10:$W$59,15,FALSE),"")</f>
        <v xml:space="preserve">Lot </v>
      </c>
      <c r="B306" s="202">
        <f>IF($A300&lt;&gt;0,VLOOKUP($A300,Liste!$A$10:$W$59,16,FALSE),"")</f>
        <v>0</v>
      </c>
      <c r="C306" s="119">
        <f>IF($A300&lt;&gt;0,VLOOKUP($A300,Liste!$A$10:$W$59,17,FALSE),"")</f>
        <v>0</v>
      </c>
      <c r="D306" s="119"/>
      <c r="E306" s="125"/>
      <c r="F306" s="172"/>
      <c r="G306" s="168" t="s">
        <v>159</v>
      </c>
      <c r="H306" s="174" t="s">
        <v>160</v>
      </c>
      <c r="I306" s="84"/>
      <c r="J306" s="84"/>
      <c r="K306" s="84"/>
      <c r="L306" s="108"/>
      <c r="M306" s="83"/>
    </row>
    <row r="307" spans="1:13" x14ac:dyDescent="0.25">
      <c r="A307" s="192" t="str">
        <f>IF($A300&lt;&gt;0,"Lot " &amp; VLOOKUP($A300,Liste!$A$10:$W$59,18,FALSE),"")</f>
        <v xml:space="preserve">Lot </v>
      </c>
      <c r="B307" s="202">
        <f>IF($A300&lt;&gt;0,VLOOKUP($A300,Liste!$A$10:$W$59,19,FALSE),"")</f>
        <v>0</v>
      </c>
      <c r="C307" s="119">
        <f>IF($A300&lt;&gt;0,VLOOKUP($A300,Liste!$A$10:$W$59,20,FALSE),"")</f>
        <v>0</v>
      </c>
      <c r="F307" s="172"/>
      <c r="G307" s="169" t="s">
        <v>161</v>
      </c>
      <c r="H307" s="174" t="s">
        <v>160</v>
      </c>
      <c r="I307" s="167"/>
      <c r="J307" s="167"/>
      <c r="K307" s="167"/>
      <c r="L307" s="176"/>
      <c r="M307" s="83"/>
    </row>
    <row r="308" spans="1:13" ht="18" thickBot="1" x14ac:dyDescent="0.3">
      <c r="A308" s="193" t="str">
        <f>IF($A300&lt;&gt;0,"Lot " &amp; VLOOKUP($A300,Liste!$A$10:$W$59,21,FALSE),"")</f>
        <v xml:space="preserve">Lot </v>
      </c>
      <c r="B308" s="203">
        <f>IF($A300&lt;&gt;0,VLOOKUP($A300,Liste!$A$10:$W$59,22,FALSE),"")</f>
        <v>0</v>
      </c>
      <c r="C308" s="123">
        <f>IF($A300&lt;&gt;0,VLOOKUP($A300,Liste!$A$10:$W$59,23,FALSE),"")</f>
        <v>0</v>
      </c>
      <c r="D308" s="122"/>
      <c r="E308" s="122"/>
      <c r="F308" s="213"/>
      <c r="G308" s="212" t="str">
        <f>IF(OR(B301=0,VLOOKUP(A300,Liste!$A$10:'Liste'!$Z$59,26)&lt;&gt;""),"", "Voir autorisation messages électroniques")</f>
        <v/>
      </c>
      <c r="H308" s="212"/>
      <c r="I308" s="212"/>
      <c r="J308" s="122"/>
      <c r="K308" s="122"/>
      <c r="L308" s="128"/>
      <c r="M308" s="83"/>
    </row>
    <row r="309" spans="1:13" x14ac:dyDescent="0.25">
      <c r="L309" s="82"/>
      <c r="M309" s="82"/>
    </row>
    <row r="310" spans="1:13" ht="17.399999999999999" x14ac:dyDescent="0.3">
      <c r="D310" s="112" t="s">
        <v>93</v>
      </c>
      <c r="E310" s="112"/>
      <c r="F310" s="112"/>
      <c r="K310" s="133" t="s">
        <v>98</v>
      </c>
      <c r="L310" s="194">
        <f>L233+1</f>
        <v>5</v>
      </c>
      <c r="M310" s="82"/>
    </row>
    <row r="311" spans="1:13" x14ac:dyDescent="0.25">
      <c r="E311" s="133"/>
      <c r="F311" s="117" t="s">
        <v>166</v>
      </c>
      <c r="G311" s="152">
        <f>IF(A314&gt;0,Liste!$C$1,"")</f>
        <v>44084</v>
      </c>
      <c r="L311" s="82"/>
      <c r="M311" s="82"/>
    </row>
    <row r="312" spans="1:13" x14ac:dyDescent="0.25">
      <c r="D312" t="str">
        <f>IF(A314&gt;0,Liste!$C$3&amp;"; "&amp;Liste!$C$4&amp;" "&amp;Liste!$C$5,"""")</f>
        <v>Résidence Le Paradis; Rue de l' espoir 75016 PARIS</v>
      </c>
      <c r="E312" s="152"/>
      <c r="F312" s="152"/>
      <c r="G312" s="152"/>
      <c r="L312" s="82"/>
      <c r="M312" s="82"/>
    </row>
    <row r="313" spans="1:13" ht="13.8" thickBot="1" x14ac:dyDescent="0.3">
      <c r="A313" s="84"/>
      <c r="B313" s="82"/>
      <c r="C313" s="84"/>
      <c r="D313" s="84"/>
      <c r="E313" s="84"/>
      <c r="F313" s="84"/>
      <c r="G313" s="84"/>
      <c r="L313" s="89"/>
    </row>
    <row r="314" spans="1:13" ht="18.75" customHeight="1" x14ac:dyDescent="0.25">
      <c r="A314" s="171">
        <f>A300+1</f>
        <v>33</v>
      </c>
      <c r="B314" s="171"/>
      <c r="C314" s="171"/>
      <c r="D314" s="171"/>
      <c r="E314" s="171"/>
      <c r="F314" s="183"/>
      <c r="G314" s="181" t="s">
        <v>162</v>
      </c>
      <c r="H314" s="166"/>
      <c r="I314" s="166"/>
      <c r="J314" s="166"/>
      <c r="K314" s="166"/>
      <c r="L314" s="175"/>
      <c r="M314" s="83"/>
    </row>
    <row r="315" spans="1:13" ht="18" thickBot="1" x14ac:dyDescent="0.35">
      <c r="A315" s="83">
        <f>IF($A314&lt;&gt;0,VLOOKUP($A314,Liste!$A$10:$W$59,3,FALSE),"")</f>
        <v>0</v>
      </c>
      <c r="B315" s="207">
        <f>IF($A314&lt;&gt;0,VLOOKUP($A314,Liste!$A$10:$W$59,4,FALSE),"")</f>
        <v>0</v>
      </c>
      <c r="C315" s="82"/>
      <c r="D315" s="82"/>
      <c r="E315" s="208" t="str">
        <f>IF($A314&lt;&gt;0,VLOOKUP($A314,Liste!$A$10:$W$59,8,FALSE),"")</f>
        <v/>
      </c>
      <c r="F315" s="184"/>
      <c r="G315" s="182" t="s">
        <v>158</v>
      </c>
      <c r="H315" s="106"/>
      <c r="I315" s="106"/>
      <c r="J315" s="106"/>
      <c r="K315" s="106"/>
      <c r="L315" s="26"/>
      <c r="M315" s="83"/>
    </row>
    <row r="316" spans="1:13" x14ac:dyDescent="0.25">
      <c r="A316" s="114">
        <f>IF($A314&lt;&gt;0,VLOOKUP($A314,Liste!$A$10:$W$59,5,FALSE),"")</f>
        <v>0</v>
      </c>
      <c r="F316" s="170"/>
      <c r="G316" s="171" t="s">
        <v>163</v>
      </c>
      <c r="H316" s="171"/>
      <c r="I316" s="171"/>
      <c r="J316" s="171"/>
      <c r="K316" s="171"/>
      <c r="L316" s="127"/>
      <c r="M316" s="83"/>
    </row>
    <row r="317" spans="1:13" x14ac:dyDescent="0.25">
      <c r="A317" s="114">
        <f>IF($A314&lt;&gt;0,VLOOKUP($A314,Liste!$A$10:$W$59,6,FALSE),"")</f>
        <v>0</v>
      </c>
      <c r="B317" s="107">
        <f>IF($A314&lt;&gt;0,VLOOKUP($A314,Liste!$A$10:$W$59,7,FALSE),"")</f>
        <v>0</v>
      </c>
      <c r="F317" s="172"/>
      <c r="G317" s="82"/>
      <c r="H317" s="82"/>
      <c r="I317" s="82"/>
      <c r="J317" s="82"/>
      <c r="K317" s="82"/>
      <c r="L317" s="89"/>
      <c r="M317" s="83"/>
    </row>
    <row r="318" spans="1:13" x14ac:dyDescent="0.25">
      <c r="A318" s="115" t="str">
        <f xml:space="preserve"> IF($A314&lt;&gt;0, "Lot " &amp; VLOOKUP($A314,Liste!$A$10:$W$59,9,FALSE),"")</f>
        <v xml:space="preserve">Lot </v>
      </c>
      <c r="B318" s="111">
        <f>IF($A314&lt;&gt;0,VLOOKUP($A314,Liste!$A$10:$W$59,10,FALSE),"")</f>
        <v>0</v>
      </c>
      <c r="C318" s="110">
        <f>IF($A314&lt;&gt;0,VLOOKUP($A314,Liste!$A$10:$W$59,11,FALSE),"")</f>
        <v>0</v>
      </c>
      <c r="F318" s="172"/>
      <c r="G318" s="82"/>
      <c r="H318" s="82"/>
      <c r="I318" s="82"/>
      <c r="J318" s="82"/>
      <c r="K318" s="82"/>
      <c r="L318" s="89"/>
      <c r="M318" s="83"/>
    </row>
    <row r="319" spans="1:13" ht="13.8" thickBot="1" x14ac:dyDescent="0.3">
      <c r="A319" s="115" t="str">
        <f>IF($A314&lt;&gt;0,"Lot " &amp; VLOOKUP($A314,Liste!$A$10:$W$59,12,FALSE),"")</f>
        <v xml:space="preserve">Lot </v>
      </c>
      <c r="B319" s="111">
        <f>IF($A314&lt;&gt;0,VLOOKUP($A314,Liste!$A$10:$W$59,13,FALSE),"")</f>
        <v>0</v>
      </c>
      <c r="C319" s="110">
        <f>IF($A314&lt;&gt;0,VLOOKUP($A314,Liste!$A$10:$W$59,14,FALSE),"")</f>
        <v>0</v>
      </c>
      <c r="D319" s="111"/>
      <c r="E319" s="116"/>
      <c r="F319" s="173"/>
      <c r="G319" s="122"/>
      <c r="H319" s="122"/>
      <c r="I319" s="122"/>
      <c r="J319" s="122"/>
      <c r="K319" s="122"/>
      <c r="L319" s="128"/>
      <c r="M319" s="83"/>
    </row>
    <row r="320" spans="1:13" x14ac:dyDescent="0.25">
      <c r="A320" s="192" t="str">
        <f>IF($A314&lt;&gt;0,"Lot " &amp; VLOOKUP($A314,Liste!$A$10:$W$59,15,FALSE),"")</f>
        <v xml:space="preserve">Lot </v>
      </c>
      <c r="B320" s="119">
        <f>IF($A314&lt;&gt;0,VLOOKUP($A314,Liste!$A$10:$W$59,16,FALSE),"")</f>
        <v>0</v>
      </c>
      <c r="C320" s="119">
        <f>IF($A314&lt;&gt;0,VLOOKUP($A314,Liste!$A$10:$W$59,17,FALSE),"")</f>
        <v>0</v>
      </c>
      <c r="D320" s="119"/>
      <c r="E320" s="125"/>
      <c r="F320" s="172"/>
      <c r="G320" s="168" t="s">
        <v>159</v>
      </c>
      <c r="H320" s="174" t="s">
        <v>160</v>
      </c>
      <c r="I320" s="84"/>
      <c r="J320" s="84"/>
      <c r="K320" s="84"/>
      <c r="L320" s="108"/>
      <c r="M320" s="83"/>
    </row>
    <row r="321" spans="1:13" x14ac:dyDescent="0.25">
      <c r="A321" s="192" t="str">
        <f>IF($A314&lt;&gt;0,"Lot " &amp; VLOOKUP($A314,Liste!$A$10:$W$59,18,FALSE),"")</f>
        <v xml:space="preserve">Lot </v>
      </c>
      <c r="B321" s="119">
        <f>IF($A314&lt;&gt;0,VLOOKUP($A314,Liste!$A$10:$W$59,19,FALSE),"")</f>
        <v>0</v>
      </c>
      <c r="C321" s="119">
        <f>IF($A314&lt;&gt;0,VLOOKUP($A314,Liste!$A$10:$W$59,19,FALSE),"")</f>
        <v>0</v>
      </c>
      <c r="F321" s="172"/>
      <c r="G321" s="169" t="s">
        <v>161</v>
      </c>
      <c r="H321" s="174" t="s">
        <v>160</v>
      </c>
      <c r="I321" s="167"/>
      <c r="J321" s="167"/>
      <c r="K321" s="167"/>
      <c r="L321" s="176"/>
      <c r="M321" s="83"/>
    </row>
    <row r="322" spans="1:13" ht="18" thickBot="1" x14ac:dyDescent="0.3">
      <c r="A322" s="193" t="str">
        <f>IF($A314&lt;&gt;0,"Lot " &amp; VLOOKUP($A314,Liste!$A$10:$W$59,21,FALSE),"")</f>
        <v xml:space="preserve">Lot </v>
      </c>
      <c r="B322" s="123">
        <f>IF($A314&lt;&gt;0,VLOOKUP($A314,Liste!$A$10:$W$59,22,FALSE),"")</f>
        <v>0</v>
      </c>
      <c r="C322" s="123">
        <f>IF($A314&lt;&gt;0,VLOOKUP($A314,Liste!$A$10:$W$59,23,FALSE),"")</f>
        <v>0</v>
      </c>
      <c r="D322" s="122"/>
      <c r="E322" s="122"/>
      <c r="F322" s="213"/>
      <c r="G322" s="212" t="str">
        <f>IF(OR(B315=0,VLOOKUP(A314,Liste!$A$10:'Liste'!$Z$59,26)&lt;&gt;""),"", "Voir autorisation messages électroniques")</f>
        <v/>
      </c>
      <c r="H322" s="212"/>
      <c r="I322" s="212"/>
      <c r="J322" s="122"/>
      <c r="K322" s="122"/>
      <c r="L322" s="128"/>
      <c r="M322" s="83"/>
    </row>
    <row r="323" spans="1:13" ht="18.75" customHeight="1" x14ac:dyDescent="0.25">
      <c r="A323" s="120">
        <f>A314+1</f>
        <v>34</v>
      </c>
      <c r="B323" s="204"/>
      <c r="C323" s="82"/>
      <c r="D323" s="82"/>
      <c r="E323" s="82"/>
      <c r="F323" s="183"/>
      <c r="G323" s="181" t="s">
        <v>162</v>
      </c>
      <c r="H323" s="166"/>
      <c r="I323" s="166"/>
      <c r="J323" s="166"/>
      <c r="K323" s="166"/>
      <c r="L323" s="175"/>
      <c r="M323" s="83"/>
    </row>
    <row r="324" spans="1:13" ht="18" thickBot="1" x14ac:dyDescent="0.35">
      <c r="A324" s="83">
        <f>IF($A323&lt;&gt;0,VLOOKUP($A323,Liste!$A$10:$W$59,3,FALSE),"")</f>
        <v>0</v>
      </c>
      <c r="B324" s="201">
        <f>IF($A323&lt;&gt;0,VLOOKUP($A323,Liste!$A$10:$W$59,4,FALSE),"")</f>
        <v>0</v>
      </c>
      <c r="E324" s="109" t="str">
        <f>IF($A323&lt;&gt;0,VLOOKUP($A323,Liste!$A$10:$W$59,8,FALSE),"")</f>
        <v/>
      </c>
      <c r="F324" s="184"/>
      <c r="G324" s="182" t="s">
        <v>158</v>
      </c>
      <c r="H324" s="106"/>
      <c r="I324" s="106"/>
      <c r="J324" s="106"/>
      <c r="K324" s="106"/>
      <c r="L324" s="26"/>
      <c r="M324" s="83"/>
    </row>
    <row r="325" spans="1:13" x14ac:dyDescent="0.25">
      <c r="A325" s="114">
        <f>IF($A323&lt;&gt;0,VLOOKUP($A323,Liste!$A$10:$W$59,5,FALSE),"")</f>
        <v>0</v>
      </c>
      <c r="B325" s="83"/>
      <c r="F325" s="170"/>
      <c r="G325" s="171" t="s">
        <v>163</v>
      </c>
      <c r="H325" s="171"/>
      <c r="I325" s="171"/>
      <c r="J325" s="171"/>
      <c r="K325" s="171"/>
      <c r="L325" s="127"/>
      <c r="M325" s="83"/>
    </row>
    <row r="326" spans="1:13" x14ac:dyDescent="0.25">
      <c r="A326" s="114">
        <f>IF($A323&lt;&gt;0,VLOOKUP($A323,Liste!$A$10:$W$59,6,FALSE),"")</f>
        <v>0</v>
      </c>
      <c r="B326" s="114">
        <f>IF($A323&lt;&gt;0,VLOOKUP($A323,Liste!$A$10:$W$59,7,FALSE),"")</f>
        <v>0</v>
      </c>
      <c r="F326" s="172"/>
      <c r="G326" s="82"/>
      <c r="H326" s="82"/>
      <c r="I326" s="82"/>
      <c r="J326" s="82"/>
      <c r="K326" s="82"/>
      <c r="L326" s="89"/>
      <c r="M326" s="83"/>
    </row>
    <row r="327" spans="1:13" x14ac:dyDescent="0.25">
      <c r="A327" s="115" t="str">
        <f xml:space="preserve"> IF($A323&lt;&gt;0, "Lot " &amp; VLOOKUP($A323,Liste!$A$10:$W$59,9,FALSE),"")</f>
        <v xml:space="preserve">Lot </v>
      </c>
      <c r="B327" s="202">
        <f>IF($A323&lt;&gt;0,VLOOKUP($A323,Liste!$A$10:$W$59,10,FALSE),"")</f>
        <v>0</v>
      </c>
      <c r="C327" s="110">
        <f>IF($A323&lt;&gt;0,VLOOKUP($A323,Liste!$A$10:$W$59,11,FALSE),"")</f>
        <v>0</v>
      </c>
      <c r="F327" s="172"/>
      <c r="G327" s="82"/>
      <c r="H327" s="82"/>
      <c r="I327" s="82"/>
      <c r="J327" s="82"/>
      <c r="K327" s="82"/>
      <c r="L327" s="89"/>
      <c r="M327" s="83"/>
    </row>
    <row r="328" spans="1:13" ht="13.8" thickBot="1" x14ac:dyDescent="0.3">
      <c r="A328" s="115" t="str">
        <f>IF($A323&lt;&gt;0,"Lot " &amp; VLOOKUP($A323,Liste!$A$10:$W$59,12,FALSE),"")</f>
        <v xml:space="preserve">Lot </v>
      </c>
      <c r="B328" s="202">
        <f>IF($A323&lt;&gt;0,VLOOKUP($A323,Liste!$A$10:$W$59,13,FALSE),"")</f>
        <v>0</v>
      </c>
      <c r="C328" s="110">
        <f>IF($A323&lt;&gt;0,VLOOKUP($A323,Liste!$A$10:$W$59,14,FALSE),"")</f>
        <v>0</v>
      </c>
      <c r="D328" s="111"/>
      <c r="E328" s="116"/>
      <c r="F328" s="173"/>
      <c r="G328" s="122"/>
      <c r="H328" s="122"/>
      <c r="I328" s="122"/>
      <c r="J328" s="122"/>
      <c r="K328" s="122"/>
      <c r="L328" s="128"/>
      <c r="M328" s="83"/>
    </row>
    <row r="329" spans="1:13" x14ac:dyDescent="0.25">
      <c r="A329" s="192" t="str">
        <f>IF($A323&lt;&gt;0,"Lot " &amp; VLOOKUP($A323,Liste!$A$10:$W$59,15,FALSE),"")</f>
        <v xml:space="preserve">Lot </v>
      </c>
      <c r="B329" s="202">
        <f>IF($A323&lt;&gt;0,VLOOKUP($A323,Liste!$A$10:$W$59,16,FALSE),"")</f>
        <v>0</v>
      </c>
      <c r="C329" s="119">
        <f>IF($A323&lt;&gt;0,VLOOKUP($A323,Liste!$A$10:$W$59,17,FALSE),"")</f>
        <v>0</v>
      </c>
      <c r="D329" s="119"/>
      <c r="E329" s="125"/>
      <c r="F329" s="172"/>
      <c r="G329" s="168" t="s">
        <v>159</v>
      </c>
      <c r="H329" s="174" t="s">
        <v>160</v>
      </c>
      <c r="I329" s="84"/>
      <c r="J329" s="84"/>
      <c r="K329" s="84"/>
      <c r="L329" s="108"/>
      <c r="M329" s="83"/>
    </row>
    <row r="330" spans="1:13" x14ac:dyDescent="0.25">
      <c r="A330" s="192" t="str">
        <f>IF($A323&lt;&gt;0,"Lot " &amp; VLOOKUP($A323,Liste!$A$10:$W$59,18,FALSE),"")</f>
        <v xml:space="preserve">Lot </v>
      </c>
      <c r="B330" s="202">
        <f>IF($A323&lt;&gt;0,VLOOKUP($A323,Liste!$A$10:$W$59,19,FALSE),"")</f>
        <v>0</v>
      </c>
      <c r="C330" s="119">
        <f>IF($A323&lt;&gt;0,VLOOKUP($A323,Liste!$A$10:$W$59,20,FALSE),"")</f>
        <v>0</v>
      </c>
      <c r="F330" s="172"/>
      <c r="G330" s="169" t="s">
        <v>161</v>
      </c>
      <c r="H330" s="174" t="s">
        <v>160</v>
      </c>
      <c r="I330" s="167"/>
      <c r="J330" s="167"/>
      <c r="K330" s="167"/>
      <c r="L330" s="176"/>
      <c r="M330" s="83"/>
    </row>
    <row r="331" spans="1:13" ht="18" thickBot="1" x14ac:dyDescent="0.3">
      <c r="A331" s="193" t="str">
        <f>IF($A323&lt;&gt;0,"Lot " &amp; VLOOKUP($A323,Liste!$A$10:$W$59,21,FALSE),"")</f>
        <v xml:space="preserve">Lot </v>
      </c>
      <c r="B331" s="203">
        <f>IF($A323&lt;&gt;0,VLOOKUP($A323,Liste!$A$10:$W$59,22,FALSE),"")</f>
        <v>0</v>
      </c>
      <c r="C331" s="123">
        <f>IF($A323&lt;&gt;0,VLOOKUP($A323,Liste!$A$10:$W$59,23,FALSE),"")</f>
        <v>0</v>
      </c>
      <c r="D331" s="122"/>
      <c r="E331" s="122"/>
      <c r="F331" s="213"/>
      <c r="G331" s="212" t="str">
        <f>IF(OR(B324=0,VLOOKUP(A323,Liste!$A$10:'Liste'!$Z$59,26)&lt;&gt;""),"", "Voir autorisation messages électroniques")</f>
        <v/>
      </c>
      <c r="H331" s="212"/>
      <c r="I331" s="212"/>
      <c r="J331" s="122"/>
      <c r="K331" s="122"/>
      <c r="L331" s="128"/>
      <c r="M331" s="83"/>
    </row>
    <row r="332" spans="1:13" ht="16.5" customHeight="1" x14ac:dyDescent="0.25">
      <c r="A332" s="120">
        <f>A323+1</f>
        <v>35</v>
      </c>
      <c r="B332" s="204"/>
      <c r="C332" s="82"/>
      <c r="D332" s="82"/>
      <c r="E332" s="82"/>
      <c r="F332" s="183"/>
      <c r="G332" s="181" t="s">
        <v>162</v>
      </c>
      <c r="H332" s="166"/>
      <c r="I332" s="166"/>
      <c r="J332" s="166"/>
      <c r="K332" s="166"/>
      <c r="L332" s="175"/>
      <c r="M332" s="83"/>
    </row>
    <row r="333" spans="1:13" ht="18" thickBot="1" x14ac:dyDescent="0.35">
      <c r="A333" s="83">
        <f>IF($A332&lt;&gt;0,VLOOKUP($A332,Liste!$A$10:$W$59,3,FALSE),"")</f>
        <v>0</v>
      </c>
      <c r="B333" s="201">
        <f>IF($A332&lt;&gt;0,VLOOKUP($A332,Liste!$A$10:$W$59,4,FALSE),"")</f>
        <v>0</v>
      </c>
      <c r="E333" s="109" t="str">
        <f>IF($A332&lt;&gt;0,VLOOKUP($A332,Liste!$A$10:$W$59,8,FALSE),"")</f>
        <v/>
      </c>
      <c r="F333" s="184"/>
      <c r="G333" s="182" t="s">
        <v>158</v>
      </c>
      <c r="H333" s="106"/>
      <c r="I333" s="106"/>
      <c r="J333" s="106"/>
      <c r="K333" s="106"/>
      <c r="L333" s="26"/>
      <c r="M333" s="83"/>
    </row>
    <row r="334" spans="1:13" x14ac:dyDescent="0.25">
      <c r="A334" s="114">
        <f>IF($A332&lt;&gt;0,VLOOKUP($A332,Liste!$A$10:$W$59,5,FALSE),"")</f>
        <v>0</v>
      </c>
      <c r="B334" s="83"/>
      <c r="F334" s="170"/>
      <c r="G334" s="171" t="s">
        <v>163</v>
      </c>
      <c r="H334" s="171"/>
      <c r="I334" s="171"/>
      <c r="J334" s="171"/>
      <c r="K334" s="171"/>
      <c r="L334" s="127"/>
      <c r="M334" s="83"/>
    </row>
    <row r="335" spans="1:13" x14ac:dyDescent="0.25">
      <c r="A335" s="114">
        <f>IF($A332&lt;&gt;0,VLOOKUP($A332,Liste!$A$10:$W$59,6,FALSE),"")</f>
        <v>0</v>
      </c>
      <c r="B335" s="114">
        <f>IF($A332&lt;&gt;0,VLOOKUP($A332,Liste!$A$10:$W$59,7,FALSE),"")</f>
        <v>0</v>
      </c>
      <c r="F335" s="172"/>
      <c r="G335" s="82"/>
      <c r="H335" s="82"/>
      <c r="I335" s="82"/>
      <c r="J335" s="82"/>
      <c r="K335" s="82"/>
      <c r="L335" s="89"/>
      <c r="M335" s="83"/>
    </row>
    <row r="336" spans="1:13" x14ac:dyDescent="0.25">
      <c r="A336" s="115" t="str">
        <f xml:space="preserve"> IF($A332&lt;&gt;0, "Lot " &amp; VLOOKUP($A332,Liste!$A$10:$W$59,9,FALSE),"")</f>
        <v xml:space="preserve">Lot </v>
      </c>
      <c r="B336" s="202">
        <f>IF($A332&lt;&gt;0,VLOOKUP($A332,Liste!$A$10:$W$59,10,FALSE),"")</f>
        <v>0</v>
      </c>
      <c r="C336" s="110">
        <f>IF($A332&lt;&gt;0,VLOOKUP($A332,Liste!$A$10:$W$59,11,FALSE),"")</f>
        <v>0</v>
      </c>
      <c r="F336" s="172"/>
      <c r="G336" s="82"/>
      <c r="H336" s="82"/>
      <c r="I336" s="82"/>
      <c r="J336" s="82"/>
      <c r="K336" s="82"/>
      <c r="L336" s="89"/>
      <c r="M336" s="83"/>
    </row>
    <row r="337" spans="1:13" ht="13.8" thickBot="1" x14ac:dyDescent="0.3">
      <c r="A337" s="115" t="str">
        <f>IF($A332&lt;&gt;0,"Lot " &amp; VLOOKUP($A332,Liste!$A$10:$W$59,12,FALSE),"")</f>
        <v xml:space="preserve">Lot </v>
      </c>
      <c r="B337" s="202">
        <f>IF($A332&lt;&gt;0,VLOOKUP($A332,Liste!$A$10:$W$59,13,FALSE),"")</f>
        <v>0</v>
      </c>
      <c r="C337" s="110">
        <f>IF($A332&lt;&gt;0,VLOOKUP($A332,Liste!$A$10:$W$59,14,FALSE),"")</f>
        <v>0</v>
      </c>
      <c r="D337" s="111"/>
      <c r="E337" s="116"/>
      <c r="F337" s="173"/>
      <c r="G337" s="122"/>
      <c r="H337" s="122"/>
      <c r="I337" s="122"/>
      <c r="J337" s="122"/>
      <c r="K337" s="122"/>
      <c r="L337" s="128"/>
      <c r="M337" s="83"/>
    </row>
    <row r="338" spans="1:13" x14ac:dyDescent="0.25">
      <c r="A338" s="192" t="str">
        <f>IF($A332&lt;&gt;0,"Lot " &amp; VLOOKUP($A332,Liste!$A$10:$W$59,15,FALSE),"")</f>
        <v xml:space="preserve">Lot </v>
      </c>
      <c r="B338" s="202">
        <f>IF($A332&lt;&gt;0,VLOOKUP($A332,Liste!$A$10:$W$59,16,FALSE),"")</f>
        <v>0</v>
      </c>
      <c r="C338" s="119">
        <f>IF($A332&lt;&gt;0,VLOOKUP($A332,Liste!$A$10:$W$59,17,FALSE),"")</f>
        <v>0</v>
      </c>
      <c r="D338" s="119"/>
      <c r="E338" s="125"/>
      <c r="F338" s="172"/>
      <c r="G338" s="168" t="s">
        <v>159</v>
      </c>
      <c r="H338" s="174" t="s">
        <v>160</v>
      </c>
      <c r="I338" s="84"/>
      <c r="J338" s="84"/>
      <c r="K338" s="84"/>
      <c r="L338" s="108"/>
      <c r="M338" s="83"/>
    </row>
    <row r="339" spans="1:13" x14ac:dyDescent="0.25">
      <c r="A339" s="192" t="str">
        <f>IF($A332&lt;&gt;0,"Lot " &amp; VLOOKUP($A332,Liste!$A$10:$W$59,18,FALSE),"")</f>
        <v xml:space="preserve">Lot </v>
      </c>
      <c r="B339" s="202">
        <f>IF($A332&lt;&gt;0,VLOOKUP($A332,Liste!$A$10:$W$59,19,FALSE),"")</f>
        <v>0</v>
      </c>
      <c r="C339" s="119">
        <f>IF($A332&lt;&gt;0,VLOOKUP($A332,Liste!$A$10:$W$59,20,FALSE),"")</f>
        <v>0</v>
      </c>
      <c r="F339" s="172"/>
      <c r="G339" s="169" t="s">
        <v>161</v>
      </c>
      <c r="H339" s="174" t="s">
        <v>160</v>
      </c>
      <c r="I339" s="167"/>
      <c r="J339" s="167"/>
      <c r="K339" s="167"/>
      <c r="L339" s="176"/>
      <c r="M339" s="83"/>
    </row>
    <row r="340" spans="1:13" ht="18" thickBot="1" x14ac:dyDescent="0.3">
      <c r="A340" s="193" t="str">
        <f>IF($A332&lt;&gt;0,"Lot " &amp; VLOOKUP($A332,Liste!$A$10:$W$59,21,FALSE),"")</f>
        <v xml:space="preserve">Lot </v>
      </c>
      <c r="B340" s="203">
        <f>IF($A332&lt;&gt;0,VLOOKUP($A332,Liste!$A$10:$W$59,22,FALSE),"")</f>
        <v>0</v>
      </c>
      <c r="C340" s="123">
        <f>IF($A332&lt;&gt;0,VLOOKUP($A332,Liste!$A$10:$W$59,23,FALSE),"")</f>
        <v>0</v>
      </c>
      <c r="D340" s="122"/>
      <c r="E340" s="122"/>
      <c r="F340" s="213"/>
      <c r="G340" s="212" t="str">
        <f>IF(OR(B333=0,VLOOKUP(A332,Liste!$A$10:'Liste'!$Z$59,26)&lt;&gt;""),"", "Voir autorisation messages électroniques")</f>
        <v/>
      </c>
      <c r="H340" s="212"/>
      <c r="I340" s="212"/>
      <c r="J340" s="122"/>
      <c r="K340" s="122"/>
      <c r="L340" s="128"/>
      <c r="M340" s="83"/>
    </row>
    <row r="341" spans="1:13" ht="19.5" customHeight="1" x14ac:dyDescent="0.25">
      <c r="A341" s="120">
        <f>A332+1</f>
        <v>36</v>
      </c>
      <c r="B341" s="204"/>
      <c r="C341" s="82"/>
      <c r="D341" s="82"/>
      <c r="E341" s="82"/>
      <c r="F341" s="183"/>
      <c r="G341" s="181" t="s">
        <v>162</v>
      </c>
      <c r="H341" s="166"/>
      <c r="I341" s="166"/>
      <c r="J341" s="166"/>
      <c r="K341" s="166"/>
      <c r="L341" s="175"/>
      <c r="M341" s="83"/>
    </row>
    <row r="342" spans="1:13" ht="18" thickBot="1" x14ac:dyDescent="0.35">
      <c r="A342" s="83">
        <f>IF($A341&lt;&gt;0,VLOOKUP($A341,Liste!$A$10:$W$59,3,FALSE),"")</f>
        <v>0</v>
      </c>
      <c r="B342" s="201">
        <f>IF($A341&lt;&gt;0,VLOOKUP($A341,Liste!$A$10:$W$59,4,FALSE),"")</f>
        <v>0</v>
      </c>
      <c r="E342" s="109" t="str">
        <f>IF($A341&lt;&gt;0,VLOOKUP($A341,Liste!$A$10:$W$59,8,FALSE),"")</f>
        <v/>
      </c>
      <c r="F342" s="184"/>
      <c r="G342" s="182" t="s">
        <v>158</v>
      </c>
      <c r="H342" s="106"/>
      <c r="I342" s="106"/>
      <c r="J342" s="106"/>
      <c r="K342" s="106"/>
      <c r="L342" s="26"/>
      <c r="M342" s="83"/>
    </row>
    <row r="343" spans="1:13" x14ac:dyDescent="0.25">
      <c r="A343" s="114">
        <f>IF($A341&lt;&gt;0,VLOOKUP($A341,Liste!$A$10:$W$59,5,FALSE),"")</f>
        <v>0</v>
      </c>
      <c r="B343" s="83"/>
      <c r="F343" s="170"/>
      <c r="G343" s="171" t="s">
        <v>163</v>
      </c>
      <c r="H343" s="171"/>
      <c r="I343" s="171"/>
      <c r="J343" s="171"/>
      <c r="K343" s="171"/>
      <c r="L343" s="127"/>
      <c r="M343" s="83"/>
    </row>
    <row r="344" spans="1:13" x14ac:dyDescent="0.25">
      <c r="A344" s="114">
        <f>IF($A341&lt;&gt;0,VLOOKUP($A341,Liste!$A$10:$W$59,6,FALSE),"")</f>
        <v>0</v>
      </c>
      <c r="B344" s="114">
        <f>IF($A341&lt;&gt;0,VLOOKUP($A341,Liste!$A$10:$W$59,7,FALSE),"")</f>
        <v>0</v>
      </c>
      <c r="F344" s="172"/>
      <c r="G344" s="82"/>
      <c r="H344" s="82"/>
      <c r="I344" s="82"/>
      <c r="J344" s="82"/>
      <c r="K344" s="82"/>
      <c r="L344" s="89"/>
      <c r="M344" s="83"/>
    </row>
    <row r="345" spans="1:13" x14ac:dyDescent="0.25">
      <c r="A345" s="115" t="str">
        <f xml:space="preserve"> IF($A341&lt;&gt;0, "Lot " &amp; VLOOKUP($A341,Liste!$A$10:$W$59,9,FALSE),"")</f>
        <v xml:space="preserve">Lot </v>
      </c>
      <c r="B345" s="202">
        <f>IF($A341&lt;&gt;0,VLOOKUP($A341,Liste!$A$10:$W$59,10,FALSE),"")</f>
        <v>0</v>
      </c>
      <c r="C345" s="110">
        <f>IF($A341&lt;&gt;0,VLOOKUP($A341,Liste!$A$10:$W$59,11,FALSE),"")</f>
        <v>0</v>
      </c>
      <c r="F345" s="172"/>
      <c r="G345" s="82"/>
      <c r="H345" s="82"/>
      <c r="I345" s="82"/>
      <c r="J345" s="82"/>
      <c r="K345" s="82"/>
      <c r="L345" s="89"/>
      <c r="M345" s="83"/>
    </row>
    <row r="346" spans="1:13" ht="13.8" thickBot="1" x14ac:dyDescent="0.3">
      <c r="A346" s="115" t="str">
        <f>IF($A341&lt;&gt;0,"Lot " &amp; VLOOKUP($A341,Liste!$A$10:$W$59,12,FALSE),"")</f>
        <v xml:space="preserve">Lot </v>
      </c>
      <c r="B346" s="202">
        <f>IF($A341&lt;&gt;0,VLOOKUP($A341,Liste!$A$10:$W$59,13,FALSE),"")</f>
        <v>0</v>
      </c>
      <c r="C346" s="110">
        <f>IF($A341&lt;&gt;0,VLOOKUP($A341,Liste!$A$10:$W$59,14,FALSE),"")</f>
        <v>0</v>
      </c>
      <c r="D346" s="111"/>
      <c r="E346" s="116"/>
      <c r="F346" s="173"/>
      <c r="G346" s="122"/>
      <c r="H346" s="122"/>
      <c r="I346" s="122"/>
      <c r="J346" s="122"/>
      <c r="K346" s="122"/>
      <c r="L346" s="128"/>
      <c r="M346" s="83"/>
    </row>
    <row r="347" spans="1:13" x14ac:dyDescent="0.25">
      <c r="A347" s="192" t="str">
        <f>IF($A341&lt;&gt;0,"Lot " &amp; VLOOKUP($A341,Liste!$A$10:$W$59,15,FALSE),"")</f>
        <v xml:space="preserve">Lot </v>
      </c>
      <c r="B347" s="202">
        <f>IF($A341&lt;&gt;0,VLOOKUP($A341,Liste!$A$10:$W$59,16,FALSE),"")</f>
        <v>0</v>
      </c>
      <c r="C347" s="119">
        <f>IF($A341&lt;&gt;0,VLOOKUP($A341,Liste!$A$10:$W$59,17,FALSE),"")</f>
        <v>0</v>
      </c>
      <c r="D347" s="119"/>
      <c r="E347" s="125"/>
      <c r="F347" s="172"/>
      <c r="G347" s="168" t="s">
        <v>159</v>
      </c>
      <c r="H347" s="174" t="s">
        <v>160</v>
      </c>
      <c r="I347" s="84"/>
      <c r="J347" s="84"/>
      <c r="K347" s="84"/>
      <c r="L347" s="108"/>
      <c r="M347" s="83"/>
    </row>
    <row r="348" spans="1:13" x14ac:dyDescent="0.25">
      <c r="A348" s="192" t="str">
        <f>IF($A341&lt;&gt;0,"Lot " &amp; VLOOKUP($A341,Liste!$A$10:$W$59,18,FALSE),"")</f>
        <v xml:space="preserve">Lot </v>
      </c>
      <c r="B348" s="202">
        <f>IF($A341&lt;&gt;0,VLOOKUP($A341,Liste!$A$10:$W$59,19,FALSE),"")</f>
        <v>0</v>
      </c>
      <c r="C348" s="119">
        <f>IF($A341&lt;&gt;0,VLOOKUP($A341,Liste!$A$10:$W$59,20,FALSE),"")</f>
        <v>0</v>
      </c>
      <c r="F348" s="172"/>
      <c r="G348" s="169" t="s">
        <v>161</v>
      </c>
      <c r="H348" s="174" t="s">
        <v>160</v>
      </c>
      <c r="I348" s="167"/>
      <c r="J348" s="167"/>
      <c r="K348" s="167"/>
      <c r="L348" s="176"/>
      <c r="M348" s="83"/>
    </row>
    <row r="349" spans="1:13" ht="18" thickBot="1" x14ac:dyDescent="0.3">
      <c r="A349" s="193" t="str">
        <f>IF($A341&lt;&gt;0,"Lot " &amp; VLOOKUP($A341,Liste!$A$10:$W$59,21,FALSE),"")</f>
        <v xml:space="preserve">Lot </v>
      </c>
      <c r="B349" s="203">
        <f>IF($A341&lt;&gt;0,VLOOKUP($A341,Liste!$A$10:$W$59,22,FALSE),"")</f>
        <v>0</v>
      </c>
      <c r="C349" s="123">
        <f>IF($A341&lt;&gt;0,VLOOKUP($A341,Liste!$A$10:$W$59,23,FALSE),"")</f>
        <v>0</v>
      </c>
      <c r="D349" s="122"/>
      <c r="E349" s="122"/>
      <c r="F349" s="213"/>
      <c r="G349" s="212" t="str">
        <f>IF(OR(B342=0,VLOOKUP(A341,Liste!$A$10:'Liste'!$Z$59,26)&lt;&gt;""),"", "Voir autorisation messages électroniques")</f>
        <v/>
      </c>
      <c r="H349" s="212"/>
      <c r="I349" s="212"/>
      <c r="J349" s="122"/>
      <c r="K349" s="122"/>
      <c r="L349" s="128"/>
      <c r="M349" s="83"/>
    </row>
    <row r="350" spans="1:13" ht="19.5" customHeight="1" x14ac:dyDescent="0.25">
      <c r="A350" s="120">
        <f>A341+1</f>
        <v>37</v>
      </c>
      <c r="B350" s="204"/>
      <c r="C350" s="82"/>
      <c r="D350" s="82"/>
      <c r="E350" s="82"/>
      <c r="F350" s="183"/>
      <c r="G350" s="181" t="s">
        <v>162</v>
      </c>
      <c r="H350" s="166"/>
      <c r="I350" s="166"/>
      <c r="J350" s="166"/>
      <c r="K350" s="166"/>
      <c r="L350" s="175"/>
      <c r="M350" s="83"/>
    </row>
    <row r="351" spans="1:13" ht="18" thickBot="1" x14ac:dyDescent="0.35">
      <c r="A351" s="83">
        <f>IF($A350&lt;&gt;0,VLOOKUP($A350,Liste!$A$10:$W$59,3,FALSE),"")</f>
        <v>0</v>
      </c>
      <c r="B351" s="201">
        <f>IF($A350&lt;&gt;0,VLOOKUP($A350,Liste!$A$10:$W$59,4,FALSE),"")</f>
        <v>0</v>
      </c>
      <c r="E351" s="109" t="str">
        <f>IF($A350&lt;&gt;0,VLOOKUP($A350,Liste!$A$10:$W$59,8,FALSE),"")</f>
        <v/>
      </c>
      <c r="F351" s="184"/>
      <c r="G351" s="182" t="s">
        <v>158</v>
      </c>
      <c r="H351" s="106"/>
      <c r="I351" s="106"/>
      <c r="J351" s="106"/>
      <c r="K351" s="106"/>
      <c r="L351" s="26"/>
      <c r="M351" s="83"/>
    </row>
    <row r="352" spans="1:13" x14ac:dyDescent="0.25">
      <c r="A352" s="114">
        <f>IF($A350&lt;&gt;0,VLOOKUP($A350,Liste!$A$10:$W$59,5,FALSE),"")</f>
        <v>0</v>
      </c>
      <c r="B352" s="83"/>
      <c r="F352" s="170"/>
      <c r="G352" s="171" t="s">
        <v>163</v>
      </c>
      <c r="H352" s="171"/>
      <c r="I352" s="171"/>
      <c r="J352" s="171"/>
      <c r="K352" s="171"/>
      <c r="L352" s="127"/>
      <c r="M352" s="83"/>
    </row>
    <row r="353" spans="1:13" x14ac:dyDescent="0.25">
      <c r="A353" s="114">
        <f>IF($A350&lt;&gt;0,VLOOKUP($A350,Liste!$A$10:$W$59,6,FALSE),"")</f>
        <v>0</v>
      </c>
      <c r="B353" s="114">
        <f>IF($A350&lt;&gt;0,VLOOKUP($A350,Liste!$A$10:$W$59,7,FALSE),"")</f>
        <v>0</v>
      </c>
      <c r="F353" s="172"/>
      <c r="G353" s="82"/>
      <c r="H353" s="82"/>
      <c r="I353" s="82"/>
      <c r="J353" s="82"/>
      <c r="K353" s="82"/>
      <c r="L353" s="89"/>
      <c r="M353" s="83"/>
    </row>
    <row r="354" spans="1:13" x14ac:dyDescent="0.25">
      <c r="A354" s="115" t="str">
        <f xml:space="preserve"> IF($A350&lt;&gt;0, "Lot " &amp; VLOOKUP($A350,Liste!$A$10:$W$59,9,FALSE),"")</f>
        <v xml:space="preserve">Lot </v>
      </c>
      <c r="B354" s="202">
        <f>IF($A350&lt;&gt;0,VLOOKUP($A350,Liste!$A$10:$W$59,10,FALSE),"")</f>
        <v>0</v>
      </c>
      <c r="C354" s="110">
        <f>IF($A350&lt;&gt;0,VLOOKUP($A350,Liste!$A$10:$W$59,11,FALSE),"")</f>
        <v>0</v>
      </c>
      <c r="F354" s="172"/>
      <c r="G354" s="82"/>
      <c r="H354" s="82"/>
      <c r="I354" s="82"/>
      <c r="J354" s="82"/>
      <c r="K354" s="82"/>
      <c r="L354" s="89"/>
      <c r="M354" s="83"/>
    </row>
    <row r="355" spans="1:13" ht="13.8" thickBot="1" x14ac:dyDescent="0.3">
      <c r="A355" s="115" t="str">
        <f>IF($A350&lt;&gt;0,"Lot " &amp; VLOOKUP($A350,Liste!$A$10:$W$59,12,FALSE),"")</f>
        <v xml:space="preserve">Lot </v>
      </c>
      <c r="B355" s="202">
        <f>IF($A350&lt;&gt;0,VLOOKUP($A350,Liste!$A$10:$W$59,13,FALSE),"")</f>
        <v>0</v>
      </c>
      <c r="C355" s="110">
        <f>IF($A350&lt;&gt;0,VLOOKUP($A350,Liste!$A$10:$W$59,14,FALSE),"")</f>
        <v>0</v>
      </c>
      <c r="D355" s="111"/>
      <c r="E355" s="116"/>
      <c r="F355" s="173"/>
      <c r="G355" s="122"/>
      <c r="H355" s="122"/>
      <c r="I355" s="122"/>
      <c r="J355" s="122"/>
      <c r="K355" s="122"/>
      <c r="L355" s="128"/>
      <c r="M355" s="83"/>
    </row>
    <row r="356" spans="1:13" x14ac:dyDescent="0.25">
      <c r="A356" s="192" t="str">
        <f>IF($A350&lt;&gt;0,"Lot " &amp; VLOOKUP($A350,Liste!$A$10:$W$59,15,FALSE),"")</f>
        <v xml:space="preserve">Lot </v>
      </c>
      <c r="B356" s="202">
        <f>IF($A350&lt;&gt;0,VLOOKUP($A350,Liste!$A$10:$W$59,16,FALSE),"")</f>
        <v>0</v>
      </c>
      <c r="C356" s="119">
        <f>IF($A350&lt;&gt;0,VLOOKUP($A350,Liste!$A$10:$W$59,17,FALSE),"")</f>
        <v>0</v>
      </c>
      <c r="D356" s="119"/>
      <c r="E356" s="125"/>
      <c r="F356" s="172"/>
      <c r="G356" s="168" t="s">
        <v>159</v>
      </c>
      <c r="H356" s="174" t="s">
        <v>160</v>
      </c>
      <c r="I356" s="84"/>
      <c r="J356" s="84"/>
      <c r="K356" s="84"/>
      <c r="L356" s="108"/>
      <c r="M356" s="83"/>
    </row>
    <row r="357" spans="1:13" x14ac:dyDescent="0.25">
      <c r="A357" s="192" t="str">
        <f>IF($A350&lt;&gt;0,"Lot " &amp; VLOOKUP($A350,Liste!$A$10:$W$59,18,FALSE),"")</f>
        <v xml:space="preserve">Lot </v>
      </c>
      <c r="B357" s="202">
        <f>IF($A350&lt;&gt;0,VLOOKUP($A350,Liste!$A$10:$W$59,19,FALSE),"")</f>
        <v>0</v>
      </c>
      <c r="C357" s="119">
        <f>IF($A350&lt;&gt;0,VLOOKUP($A350,Liste!$A$10:$W$59,20,FALSE),"")</f>
        <v>0</v>
      </c>
      <c r="F357" s="172"/>
      <c r="G357" s="169" t="s">
        <v>161</v>
      </c>
      <c r="H357" s="174" t="s">
        <v>160</v>
      </c>
      <c r="I357" s="167"/>
      <c r="J357" s="167"/>
      <c r="K357" s="167"/>
      <c r="L357" s="176"/>
      <c r="M357" s="83"/>
    </row>
    <row r="358" spans="1:13" ht="18" thickBot="1" x14ac:dyDescent="0.3">
      <c r="A358" s="193" t="str">
        <f>IF($A350&lt;&gt;0,"Lot " &amp; VLOOKUP($A350,Liste!$A$10:$W$59,21,FALSE),"")</f>
        <v xml:space="preserve">Lot </v>
      </c>
      <c r="B358" s="203">
        <f>IF($A350&lt;&gt;0,VLOOKUP($A350,Liste!$A$10:$W$59,22,FALSE),"")</f>
        <v>0</v>
      </c>
      <c r="C358" s="123">
        <f>IF($A350&lt;&gt;0,VLOOKUP($A350,Liste!$A$10:$W$59,23,FALSE),"")</f>
        <v>0</v>
      </c>
      <c r="D358" s="122"/>
      <c r="E358" s="122"/>
      <c r="F358" s="213"/>
      <c r="G358" s="212" t="str">
        <f>IF(OR(B351=0,VLOOKUP(A350,Liste!$A$10:'Liste'!$Z$59,26)&lt;&gt;""),"", "Voir autorisation messages électroniques")</f>
        <v/>
      </c>
      <c r="H358" s="212"/>
      <c r="I358" s="212"/>
      <c r="J358" s="122"/>
      <c r="K358" s="122"/>
      <c r="L358" s="128"/>
      <c r="M358" s="83"/>
    </row>
    <row r="359" spans="1:13" ht="18" customHeight="1" x14ac:dyDescent="0.25">
      <c r="A359" s="120">
        <f>A350+1</f>
        <v>38</v>
      </c>
      <c r="B359" s="204"/>
      <c r="C359" s="82"/>
      <c r="D359" s="82"/>
      <c r="E359" s="82"/>
      <c r="F359" s="183"/>
      <c r="G359" s="181" t="s">
        <v>162</v>
      </c>
      <c r="H359" s="166"/>
      <c r="I359" s="166"/>
      <c r="J359" s="166"/>
      <c r="K359" s="166"/>
      <c r="L359" s="175"/>
      <c r="M359" s="83"/>
    </row>
    <row r="360" spans="1:13" ht="18" thickBot="1" x14ac:dyDescent="0.35">
      <c r="A360" s="83">
        <f>IF($A359&lt;&gt;0,VLOOKUP($A359,Liste!$A$10:$W$59,3,FALSE),"")</f>
        <v>0</v>
      </c>
      <c r="B360" s="201">
        <f>IF($A359&lt;&gt;0,VLOOKUP($A359,Liste!$A$10:$W$59,4,FALSE),"")</f>
        <v>0</v>
      </c>
      <c r="E360" s="109" t="str">
        <f>IF($A359&lt;&gt;0,VLOOKUP($A359,Liste!$A$10:$W$59,8,FALSE),"")</f>
        <v/>
      </c>
      <c r="F360" s="184"/>
      <c r="G360" s="182" t="s">
        <v>158</v>
      </c>
      <c r="H360" s="106"/>
      <c r="I360" s="106"/>
      <c r="J360" s="106"/>
      <c r="K360" s="106"/>
      <c r="L360" s="26"/>
      <c r="M360" s="83"/>
    </row>
    <row r="361" spans="1:13" x14ac:dyDescent="0.25">
      <c r="A361" s="114">
        <f>IF($A359&lt;&gt;0,VLOOKUP($A359,Liste!$A$10:$W$59,5,FALSE),"")</f>
        <v>0</v>
      </c>
      <c r="B361" s="83"/>
      <c r="F361" s="170"/>
      <c r="G361" s="171" t="s">
        <v>163</v>
      </c>
      <c r="H361" s="171"/>
      <c r="I361" s="171"/>
      <c r="J361" s="171"/>
      <c r="K361" s="171"/>
      <c r="L361" s="127"/>
      <c r="M361" s="83"/>
    </row>
    <row r="362" spans="1:13" x14ac:dyDescent="0.25">
      <c r="A362" s="114">
        <f>IF($A359&lt;&gt;0,VLOOKUP($A359,Liste!$A$10:$W$59,6,FALSE),"")</f>
        <v>0</v>
      </c>
      <c r="B362" s="114">
        <f>IF($A359&lt;&gt;0,VLOOKUP($A359,Liste!$A$10:$W$59,7,FALSE),"")</f>
        <v>0</v>
      </c>
      <c r="F362" s="172"/>
      <c r="G362" s="82"/>
      <c r="H362" s="82"/>
      <c r="I362" s="82"/>
      <c r="J362" s="82"/>
      <c r="K362" s="82"/>
      <c r="L362" s="89"/>
      <c r="M362" s="83"/>
    </row>
    <row r="363" spans="1:13" x14ac:dyDescent="0.25">
      <c r="A363" s="115" t="str">
        <f xml:space="preserve"> IF($A359&lt;&gt;0, "Lot " &amp; VLOOKUP($A359,Liste!$A$10:$W$59,9,FALSE),"")</f>
        <v xml:space="preserve">Lot </v>
      </c>
      <c r="B363" s="202">
        <f>IF($A359&lt;&gt;0,VLOOKUP($A359,Liste!$A$10:$W$59,10,FALSE),"")</f>
        <v>0</v>
      </c>
      <c r="C363" s="110">
        <f>IF($A359&lt;&gt;0,VLOOKUP($A359,Liste!$A$10:$W$59,11,FALSE),"")</f>
        <v>0</v>
      </c>
      <c r="F363" s="172"/>
      <c r="G363" s="82"/>
      <c r="H363" s="82"/>
      <c r="I363" s="82"/>
      <c r="J363" s="82"/>
      <c r="K363" s="82"/>
      <c r="L363" s="89"/>
      <c r="M363" s="83"/>
    </row>
    <row r="364" spans="1:13" ht="13.8" thickBot="1" x14ac:dyDescent="0.3">
      <c r="A364" s="115" t="str">
        <f>IF($A359&lt;&gt;0,"Lot " &amp; VLOOKUP($A359,Liste!$A$10:$W$59,12,FALSE),"")</f>
        <v xml:space="preserve">Lot </v>
      </c>
      <c r="B364" s="202">
        <f>IF($A359&lt;&gt;0,VLOOKUP($A359,Liste!$A$10:$W$59,13,FALSE),"")</f>
        <v>0</v>
      </c>
      <c r="C364" s="110">
        <f>IF($A359&lt;&gt;0,VLOOKUP($A359,Liste!$A$10:$W$59,14,FALSE),"")</f>
        <v>0</v>
      </c>
      <c r="D364" s="111"/>
      <c r="E364" s="116"/>
      <c r="F364" s="173"/>
      <c r="G364" s="122"/>
      <c r="H364" s="122"/>
      <c r="I364" s="122"/>
      <c r="J364" s="122"/>
      <c r="K364" s="122"/>
      <c r="L364" s="128"/>
      <c r="M364" s="83"/>
    </row>
    <row r="365" spans="1:13" x14ac:dyDescent="0.25">
      <c r="A365" s="192" t="str">
        <f>IF($A359&lt;&gt;0,"Lot " &amp; VLOOKUP($A359,Liste!$A$10:$W$59,15,FALSE),"")</f>
        <v xml:space="preserve">Lot </v>
      </c>
      <c r="B365" s="202">
        <f>IF($A359&lt;&gt;0,VLOOKUP($A359,Liste!$A$10:$W$59,16,FALSE),"")</f>
        <v>0</v>
      </c>
      <c r="C365" s="119">
        <f>IF($A359&lt;&gt;0,VLOOKUP($A359,Liste!$A$10:$W$59,17,FALSE),"")</f>
        <v>0</v>
      </c>
      <c r="D365" s="119"/>
      <c r="E365" s="125"/>
      <c r="F365" s="172"/>
      <c r="G365" s="168" t="s">
        <v>159</v>
      </c>
      <c r="H365" s="174" t="s">
        <v>160</v>
      </c>
      <c r="I365" s="84"/>
      <c r="J365" s="84"/>
      <c r="K365" s="84"/>
      <c r="L365" s="108"/>
      <c r="M365" s="83"/>
    </row>
    <row r="366" spans="1:13" x14ac:dyDescent="0.25">
      <c r="A366" s="192" t="str">
        <f>IF($A359&lt;&gt;0,"Lot " &amp; VLOOKUP($A359,Liste!$A$10:$W$59,18,FALSE),"")</f>
        <v xml:space="preserve">Lot </v>
      </c>
      <c r="B366" s="202">
        <f>IF($A359&lt;&gt;0,VLOOKUP($A359,Liste!$A$10:$W$59,19,FALSE),"")</f>
        <v>0</v>
      </c>
      <c r="C366" s="119">
        <f>IF($A359&lt;&gt;0,VLOOKUP($A359,Liste!$A$10:$W$59,20,FALSE),"")</f>
        <v>0</v>
      </c>
      <c r="F366" s="172"/>
      <c r="G366" s="169" t="s">
        <v>161</v>
      </c>
      <c r="H366" s="174" t="s">
        <v>160</v>
      </c>
      <c r="I366" s="167"/>
      <c r="J366" s="167"/>
      <c r="K366" s="167"/>
      <c r="L366" s="176"/>
      <c r="M366" s="83"/>
    </row>
    <row r="367" spans="1:13" ht="13.8" thickBot="1" x14ac:dyDescent="0.3">
      <c r="A367" s="193" t="str">
        <f>IF($A359&lt;&gt;0,"Lot " &amp; VLOOKUP($A359,Liste!$A$10:$W$59,21,FALSE),"")</f>
        <v xml:space="preserve">Lot </v>
      </c>
      <c r="B367" s="203">
        <f>IF($A359&lt;&gt;0,VLOOKUP($A359,Liste!$A$10:$W$59,22,FALSE),"")</f>
        <v>0</v>
      </c>
      <c r="C367" s="123">
        <f>IF($A359&lt;&gt;0,VLOOKUP($A359,Liste!$A$10:$W$59,23,FALSE),"")</f>
        <v>0</v>
      </c>
      <c r="D367" s="122"/>
      <c r="E367" s="122"/>
      <c r="F367" s="196"/>
      <c r="G367" s="226" t="str">
        <f>IF(OR(B360=0,VLOOKUP(A359,Liste!$A$10:'Liste'!$Z$59,26)&lt;&gt;""),"", "Voir autorisation messages électroniques")</f>
        <v/>
      </c>
      <c r="H367" s="226"/>
      <c r="I367" s="226"/>
      <c r="J367" s="122"/>
      <c r="K367" s="122"/>
      <c r="L367" s="128"/>
      <c r="M367" s="83"/>
    </row>
    <row r="368" spans="1:13" ht="20.25" customHeight="1" x14ac:dyDescent="0.25">
      <c r="A368" s="120">
        <f>A359+1</f>
        <v>39</v>
      </c>
      <c r="B368" s="204"/>
      <c r="C368" s="82"/>
      <c r="D368" s="82"/>
      <c r="E368" s="82"/>
      <c r="F368" s="183"/>
      <c r="G368" s="181" t="s">
        <v>162</v>
      </c>
      <c r="H368" s="166"/>
      <c r="I368" s="166"/>
      <c r="J368" s="166"/>
      <c r="K368" s="166"/>
      <c r="L368" s="175"/>
      <c r="M368" s="83"/>
    </row>
    <row r="369" spans="1:13" ht="18" thickBot="1" x14ac:dyDescent="0.35">
      <c r="A369" s="83">
        <f>IF($A368&lt;&gt;0,VLOOKUP($A368,Liste!$A$10:$W$59,3,FALSE),"")</f>
        <v>0</v>
      </c>
      <c r="B369" s="201">
        <f>IF($A368&lt;&gt;0,VLOOKUP($A368,Liste!$A$10:$W$59,4,FALSE),"")</f>
        <v>0</v>
      </c>
      <c r="E369" s="109" t="str">
        <f>IF($A368&lt;&gt;0,VLOOKUP($A368,Liste!$A$10:$W$59,8,FALSE),"")</f>
        <v/>
      </c>
      <c r="F369" s="184"/>
      <c r="G369" s="182" t="s">
        <v>158</v>
      </c>
      <c r="H369" s="106"/>
      <c r="I369" s="106"/>
      <c r="J369" s="106"/>
      <c r="K369" s="106"/>
      <c r="L369" s="26"/>
      <c r="M369" s="83"/>
    </row>
    <row r="370" spans="1:13" x14ac:dyDescent="0.25">
      <c r="A370" s="114">
        <f>IF($A368&lt;&gt;0,VLOOKUP($A368,Liste!$A$10:$W$59,5,FALSE),"")</f>
        <v>0</v>
      </c>
      <c r="B370" s="83"/>
      <c r="F370" s="170"/>
      <c r="G370" s="171" t="s">
        <v>163</v>
      </c>
      <c r="H370" s="171"/>
      <c r="I370" s="171"/>
      <c r="J370" s="171"/>
      <c r="K370" s="171"/>
      <c r="L370" s="127"/>
      <c r="M370" s="83"/>
    </row>
    <row r="371" spans="1:13" x14ac:dyDescent="0.25">
      <c r="A371" s="114">
        <f>IF($A368&lt;&gt;0,VLOOKUP($A368,Liste!$A$10:$W$59,6,FALSE),"")</f>
        <v>0</v>
      </c>
      <c r="B371" s="114">
        <f>IF($A368&lt;&gt;0,VLOOKUP($A368,Liste!$A$10:$W$59,7,FALSE),"")</f>
        <v>0</v>
      </c>
      <c r="F371" s="172"/>
      <c r="G371" s="82"/>
      <c r="H371" s="82"/>
      <c r="I371" s="82"/>
      <c r="J371" s="82"/>
      <c r="K371" s="82"/>
      <c r="L371" s="89"/>
      <c r="M371" s="83"/>
    </row>
    <row r="372" spans="1:13" x14ac:dyDescent="0.25">
      <c r="A372" s="115" t="str">
        <f xml:space="preserve"> IF($A368&lt;&gt;0, "Lot " &amp; VLOOKUP($A368,Liste!$A$10:$W$59,9,FALSE),"")</f>
        <v xml:space="preserve">Lot </v>
      </c>
      <c r="B372" s="202">
        <f>IF($A368&lt;&gt;0,VLOOKUP($A368,Liste!$A$10:$W$59,10,FALSE),"")</f>
        <v>0</v>
      </c>
      <c r="C372" s="110">
        <f>IF($A368&lt;&gt;0,VLOOKUP($A368,Liste!$A$10:$W$59,11,FALSE),"")</f>
        <v>0</v>
      </c>
      <c r="F372" s="172"/>
      <c r="G372" s="82"/>
      <c r="H372" s="82"/>
      <c r="I372" s="82"/>
      <c r="J372" s="82"/>
      <c r="K372" s="82"/>
      <c r="L372" s="89"/>
      <c r="M372" s="83"/>
    </row>
    <row r="373" spans="1:13" ht="13.8" thickBot="1" x14ac:dyDescent="0.3">
      <c r="A373" s="115" t="str">
        <f>IF($A368&lt;&gt;0,"Lot " &amp; VLOOKUP($A368,Liste!$A$10:$W$59,12,FALSE),"")</f>
        <v xml:space="preserve">Lot </v>
      </c>
      <c r="B373" s="202">
        <f>IF($A368&lt;&gt;0,VLOOKUP($A368,Liste!$A$10:$W$59,13,FALSE),"")</f>
        <v>0</v>
      </c>
      <c r="C373" s="110">
        <f>IF($A368&lt;&gt;0,VLOOKUP($A368,Liste!$A$10:$W$59,14,FALSE),"")</f>
        <v>0</v>
      </c>
      <c r="D373" s="111"/>
      <c r="E373" s="116"/>
      <c r="F373" s="173"/>
      <c r="G373" s="122"/>
      <c r="H373" s="122"/>
      <c r="I373" s="122"/>
      <c r="J373" s="122"/>
      <c r="K373" s="122"/>
      <c r="L373" s="128"/>
      <c r="M373" s="83"/>
    </row>
    <row r="374" spans="1:13" x14ac:dyDescent="0.25">
      <c r="A374" s="192" t="str">
        <f>IF($A368&lt;&gt;0,"Lot " &amp; VLOOKUP($A368,Liste!$A$10:$W$59,15,FALSE),"")</f>
        <v xml:space="preserve">Lot </v>
      </c>
      <c r="B374" s="202">
        <f>IF($A368&lt;&gt;0,VLOOKUP($A368,Liste!$A$10:$W$59,16,FALSE),"")</f>
        <v>0</v>
      </c>
      <c r="C374" s="119">
        <f>IF($A368&lt;&gt;0,VLOOKUP($A368,Liste!$A$10:$W$59,17,FALSE),"")</f>
        <v>0</v>
      </c>
      <c r="D374" s="119"/>
      <c r="E374" s="125"/>
      <c r="F374" s="172"/>
      <c r="G374" s="168" t="s">
        <v>159</v>
      </c>
      <c r="H374" s="174" t="s">
        <v>160</v>
      </c>
      <c r="I374" s="84"/>
      <c r="J374" s="84"/>
      <c r="K374" s="84"/>
      <c r="L374" s="108"/>
      <c r="M374" s="83"/>
    </row>
    <row r="375" spans="1:13" x14ac:dyDescent="0.25">
      <c r="A375" s="192" t="str">
        <f>IF($A368&lt;&gt;0,"Lot " &amp; VLOOKUP($A368,Liste!$A$10:$W$59,18,FALSE),"")</f>
        <v xml:space="preserve">Lot </v>
      </c>
      <c r="B375" s="202">
        <f>IF($A368&lt;&gt;0,VLOOKUP($A368,Liste!$A$10:$W$59,19,FALSE),"")</f>
        <v>0</v>
      </c>
      <c r="C375" s="119">
        <f>IF($A368&lt;&gt;0,VLOOKUP($A368,Liste!$A$10:$W$59,20,FALSE),"")</f>
        <v>0</v>
      </c>
      <c r="F375" s="172"/>
      <c r="G375" s="169" t="s">
        <v>161</v>
      </c>
      <c r="H375" s="174" t="s">
        <v>160</v>
      </c>
      <c r="I375" s="167"/>
      <c r="J375" s="167"/>
      <c r="K375" s="167"/>
      <c r="L375" s="176"/>
      <c r="M375" s="83"/>
    </row>
    <row r="376" spans="1:13" ht="13.8" thickBot="1" x14ac:dyDescent="0.3">
      <c r="A376" s="193" t="str">
        <f>IF($A368&lt;&gt;0,"Lot " &amp; VLOOKUP($A368,Liste!$A$10:$W$59,21,FALSE),"")</f>
        <v xml:space="preserve">Lot </v>
      </c>
      <c r="B376" s="203">
        <f>IF($A368&lt;&gt;0,VLOOKUP($A368,Liste!$A$10:$W$59,22,FALSE),"")</f>
        <v>0</v>
      </c>
      <c r="C376" s="123">
        <f>IF($A368&lt;&gt;0,VLOOKUP($A368,Liste!$A$10:$W$59,23,FALSE),"")</f>
        <v>0</v>
      </c>
      <c r="D376" s="122"/>
      <c r="E376" s="122"/>
      <c r="F376" s="196"/>
      <c r="G376" s="226" t="str">
        <f>IF(OR(B369=0,VLOOKUP(A368,Liste!$A$10:'Liste'!$Z$59,26)&lt;&gt;""),"", "Voir autorisation messages électroniques")</f>
        <v/>
      </c>
      <c r="H376" s="226"/>
      <c r="I376" s="226"/>
      <c r="J376" s="122"/>
      <c r="K376" s="122"/>
      <c r="L376" s="128"/>
      <c r="M376" s="83"/>
    </row>
    <row r="377" spans="1:13" ht="18.75" customHeight="1" x14ac:dyDescent="0.25">
      <c r="A377" s="120">
        <f>A368+1</f>
        <v>40</v>
      </c>
      <c r="B377" s="204"/>
      <c r="C377" s="82"/>
      <c r="D377" s="82"/>
      <c r="E377" s="82"/>
      <c r="F377" s="183"/>
      <c r="G377" s="181" t="s">
        <v>162</v>
      </c>
      <c r="H377" s="166"/>
      <c r="I377" s="166"/>
      <c r="J377" s="166"/>
      <c r="K377" s="166"/>
      <c r="L377" s="175"/>
      <c r="M377" s="83"/>
    </row>
    <row r="378" spans="1:13" ht="18" thickBot="1" x14ac:dyDescent="0.35">
      <c r="A378" s="83">
        <f>IF($A377&lt;&gt;0,VLOOKUP($A377,Liste!$A$10:$W$59,3,FALSE),"")</f>
        <v>0</v>
      </c>
      <c r="B378" s="201">
        <f>IF($A377&lt;&gt;0,VLOOKUP($A377,Liste!$A$10:$W$59,4,FALSE),"")</f>
        <v>0</v>
      </c>
      <c r="E378" s="109" t="str">
        <f>IF($A377&lt;&gt;0,VLOOKUP($A377,Liste!$A$10:$W$59,8,FALSE),"")</f>
        <v/>
      </c>
      <c r="F378" s="184"/>
      <c r="G378" s="182" t="s">
        <v>158</v>
      </c>
      <c r="H378" s="106"/>
      <c r="I378" s="106"/>
      <c r="J378" s="106"/>
      <c r="K378" s="106"/>
      <c r="L378" s="26"/>
      <c r="M378" s="83"/>
    </row>
    <row r="379" spans="1:13" x14ac:dyDescent="0.25">
      <c r="A379" s="114">
        <f>IF($A377&lt;&gt;0,VLOOKUP($A377,Liste!$A$10:$W$59,5,FALSE),"")</f>
        <v>0</v>
      </c>
      <c r="B379" s="83"/>
      <c r="F379" s="170"/>
      <c r="G379" s="171" t="s">
        <v>163</v>
      </c>
      <c r="H379" s="171"/>
      <c r="I379" s="171"/>
      <c r="J379" s="171"/>
      <c r="K379" s="171"/>
      <c r="L379" s="127"/>
      <c r="M379" s="83"/>
    </row>
    <row r="380" spans="1:13" x14ac:dyDescent="0.25">
      <c r="A380" s="114">
        <f>IF($A377&lt;&gt;0,VLOOKUP($A377,Liste!$A$10:$W$59,6,FALSE),"")</f>
        <v>0</v>
      </c>
      <c r="B380" s="114">
        <f>IF($A377&lt;&gt;0,VLOOKUP($A377,Liste!$A$10:$W$59,7,FALSE),"")</f>
        <v>0</v>
      </c>
      <c r="F380" s="172"/>
      <c r="G380" s="82"/>
      <c r="H380" s="82"/>
      <c r="I380" s="82"/>
      <c r="J380" s="82"/>
      <c r="K380" s="82"/>
      <c r="L380" s="89"/>
      <c r="M380" s="83"/>
    </row>
    <row r="381" spans="1:13" x14ac:dyDescent="0.25">
      <c r="A381" s="115" t="str">
        <f xml:space="preserve"> IF($A377&lt;&gt;0, "Lot " &amp; VLOOKUP($A377,Liste!$A$10:$W$59,9,FALSE),"")</f>
        <v xml:space="preserve">Lot </v>
      </c>
      <c r="B381" s="202">
        <f>IF($A377&lt;&gt;0,VLOOKUP($A377,Liste!$A$10:$W$59,10,FALSE),"")</f>
        <v>0</v>
      </c>
      <c r="C381" s="110">
        <f>IF($A377&lt;&gt;0,VLOOKUP($A377,Liste!$A$10:$W$59,11,FALSE),"")</f>
        <v>0</v>
      </c>
      <c r="F381" s="172"/>
      <c r="G381" s="82"/>
      <c r="H381" s="82"/>
      <c r="I381" s="82"/>
      <c r="J381" s="82"/>
      <c r="K381" s="82"/>
      <c r="L381" s="89"/>
      <c r="M381" s="83"/>
    </row>
    <row r="382" spans="1:13" ht="13.8" thickBot="1" x14ac:dyDescent="0.3">
      <c r="A382" s="115" t="str">
        <f>IF($A377&lt;&gt;0,"Lot " &amp; VLOOKUP($A377,Liste!$A$10:$W$59,12,FALSE),"")</f>
        <v xml:space="preserve">Lot </v>
      </c>
      <c r="B382" s="202">
        <f>IF($A377&lt;&gt;0,VLOOKUP($A377,Liste!$A$10:$W$59,13,FALSE),"")</f>
        <v>0</v>
      </c>
      <c r="C382" s="110">
        <f>IF($A377&lt;&gt;0,VLOOKUP($A377,Liste!$A$10:$W$59,14,FALSE),"")</f>
        <v>0</v>
      </c>
      <c r="D382" s="111"/>
      <c r="E382" s="116"/>
      <c r="F382" s="173"/>
      <c r="G382" s="122"/>
      <c r="H382" s="122"/>
      <c r="I382" s="122"/>
      <c r="J382" s="122"/>
      <c r="K382" s="122"/>
      <c r="L382" s="128"/>
      <c r="M382" s="83"/>
    </row>
    <row r="383" spans="1:13" x14ac:dyDescent="0.25">
      <c r="A383" s="192" t="str">
        <f>IF($A377&lt;&gt;0,"Lot " &amp; VLOOKUP($A377,Liste!$A$10:$W$59,15,FALSE),"")</f>
        <v xml:space="preserve">Lot </v>
      </c>
      <c r="B383" s="202">
        <f>IF($A377&lt;&gt;0,VLOOKUP($A377,Liste!$A$10:$W$59,16,FALSE),"")</f>
        <v>0</v>
      </c>
      <c r="C383" s="119">
        <f>IF($A377&lt;&gt;0,VLOOKUP($A377,Liste!$A$10:$W$59,17,FALSE),"")</f>
        <v>0</v>
      </c>
      <c r="D383" s="119"/>
      <c r="E383" s="125"/>
      <c r="F383" s="172"/>
      <c r="G383" s="168" t="s">
        <v>159</v>
      </c>
      <c r="H383" s="174" t="s">
        <v>160</v>
      </c>
      <c r="I383" s="84"/>
      <c r="J383" s="84"/>
      <c r="K383" s="84"/>
      <c r="L383" s="108"/>
      <c r="M383" s="83"/>
    </row>
    <row r="384" spans="1:13" x14ac:dyDescent="0.25">
      <c r="A384" s="192" t="str">
        <f>IF($A377&lt;&gt;0,"Lot " &amp; VLOOKUP($A377,Liste!$A$10:$W$59,18,FALSE),"")</f>
        <v xml:space="preserve">Lot </v>
      </c>
      <c r="B384" s="202">
        <f>IF($A377&lt;&gt;0,VLOOKUP($A377,Liste!$A$10:$W$59,19,FALSE),"")</f>
        <v>0</v>
      </c>
      <c r="C384" s="119">
        <f>IF($A377&lt;&gt;0,VLOOKUP($A377,Liste!$A$10:$W$59,20,FALSE),"")</f>
        <v>0</v>
      </c>
      <c r="F384" s="172"/>
      <c r="G384" s="169" t="s">
        <v>161</v>
      </c>
      <c r="H384" s="174" t="s">
        <v>160</v>
      </c>
      <c r="I384" s="167"/>
      <c r="J384" s="167"/>
      <c r="K384" s="167"/>
      <c r="L384" s="176"/>
      <c r="M384" s="83"/>
    </row>
    <row r="385" spans="1:13" ht="18" thickBot="1" x14ac:dyDescent="0.3">
      <c r="A385" s="193" t="str">
        <f>IF($A377&lt;&gt;0,"Lot " &amp; VLOOKUP($A377,Liste!$A$10:$W$59,21,FALSE),"")</f>
        <v xml:space="preserve">Lot </v>
      </c>
      <c r="B385" s="203">
        <f>IF($A377&lt;&gt;0,VLOOKUP($A377,Liste!$A$10:$W$59,22,FALSE),"")</f>
        <v>0</v>
      </c>
      <c r="C385" s="123">
        <f>IF($A377&lt;&gt;0,VLOOKUP($A377,Liste!$A$10:$W$59,23,FALSE),"")</f>
        <v>0</v>
      </c>
      <c r="D385" s="122"/>
      <c r="E385" s="122"/>
      <c r="F385" s="213"/>
      <c r="G385" s="212" t="str">
        <f>IF(OR(B378=0,VLOOKUP(A377,Liste!$A$10:'Liste'!$Z$59,26)&lt;&gt;""),"", "Voir autorisation messages électroniques")</f>
        <v/>
      </c>
      <c r="H385" s="212"/>
      <c r="I385" s="212"/>
      <c r="J385" s="122"/>
      <c r="K385" s="122"/>
      <c r="L385" s="128"/>
      <c r="M385" s="83"/>
    </row>
    <row r="386" spans="1:13" ht="12" customHeight="1" x14ac:dyDescent="0.25">
      <c r="L386" s="89"/>
    </row>
    <row r="387" spans="1:13" ht="17.399999999999999" x14ac:dyDescent="0.3">
      <c r="D387" s="112" t="s">
        <v>93</v>
      </c>
      <c r="E387" s="112"/>
      <c r="F387" s="112"/>
      <c r="K387" s="133" t="s">
        <v>98</v>
      </c>
      <c r="L387" s="190">
        <f>L310+1</f>
        <v>6</v>
      </c>
    </row>
    <row r="388" spans="1:13" x14ac:dyDescent="0.25">
      <c r="E388" s="133"/>
      <c r="F388" s="117" t="s">
        <v>166</v>
      </c>
      <c r="G388" s="152">
        <f>IF(A391&gt;0,Liste!$C$1,"")</f>
        <v>44084</v>
      </c>
      <c r="L388" s="89"/>
    </row>
    <row r="389" spans="1:13" x14ac:dyDescent="0.25">
      <c r="D389" t="str">
        <f>IF(A391&gt;0,Liste!$C$3&amp;"; "&amp;Liste!$C$4&amp;" "&amp;Liste!$C$5,"""")</f>
        <v>Résidence Le Paradis; Rue de l' espoir 75016 PARIS</v>
      </c>
      <c r="E389" s="152"/>
      <c r="F389" s="152"/>
      <c r="G389" s="152"/>
      <c r="L389" s="89"/>
    </row>
    <row r="390" spans="1:13" ht="13.8" thickBot="1" x14ac:dyDescent="0.3">
      <c r="A390" s="84"/>
      <c r="B390" s="84"/>
      <c r="C390" s="84"/>
      <c r="D390" s="84"/>
      <c r="E390" s="84"/>
      <c r="F390" s="84"/>
      <c r="G390" s="84"/>
      <c r="L390" s="89"/>
    </row>
    <row r="391" spans="1:13" ht="18.75" customHeight="1" x14ac:dyDescent="0.25">
      <c r="A391" s="113">
        <f>A377+1</f>
        <v>41</v>
      </c>
      <c r="B391" s="121"/>
      <c r="C391" s="82"/>
      <c r="D391" s="82"/>
      <c r="E391" s="82"/>
      <c r="F391" s="183"/>
      <c r="G391" s="181" t="s">
        <v>162</v>
      </c>
      <c r="H391" s="166"/>
      <c r="I391" s="166"/>
      <c r="J391" s="166"/>
      <c r="K391" s="166"/>
      <c r="L391" s="175"/>
      <c r="M391" s="83"/>
    </row>
    <row r="392" spans="1:13" ht="18" thickBot="1" x14ac:dyDescent="0.35">
      <c r="A392" s="83">
        <f>IF($A391&lt;&gt;0,VLOOKUP($A391,Liste!$A$10:$W$59,3,FALSE),"")</f>
        <v>0</v>
      </c>
      <c r="B392" s="185">
        <f>IF($A391&lt;&gt;0,VLOOKUP($A391,Liste!$A$10:$W$59,4,FALSE),"")</f>
        <v>0</v>
      </c>
      <c r="E392" s="109" t="str">
        <f>IF($A391&lt;&gt;0,VLOOKUP($A391,Liste!$A$10:$W$59,8,FALSE),"")</f>
        <v/>
      </c>
      <c r="F392" s="184"/>
      <c r="G392" s="182" t="s">
        <v>158</v>
      </c>
      <c r="H392" s="106"/>
      <c r="I392" s="106"/>
      <c r="J392" s="106"/>
      <c r="K392" s="106"/>
      <c r="L392" s="26"/>
      <c r="M392" s="83"/>
    </row>
    <row r="393" spans="1:13" x14ac:dyDescent="0.25">
      <c r="A393" s="114">
        <f>IF($A391&lt;&gt;0,VLOOKUP($A391,Liste!$A$10:$W$59,5,FALSE),"")</f>
        <v>0</v>
      </c>
      <c r="F393" s="170"/>
      <c r="G393" s="171" t="s">
        <v>163</v>
      </c>
      <c r="H393" s="171"/>
      <c r="I393" s="171"/>
      <c r="J393" s="171"/>
      <c r="K393" s="171"/>
      <c r="L393" s="127"/>
      <c r="M393" s="83"/>
    </row>
    <row r="394" spans="1:13" x14ac:dyDescent="0.25">
      <c r="A394" s="114">
        <f>IF($A391&lt;&gt;0,VLOOKUP($A391,Liste!$A$10:$W$59,6,FALSE),"")</f>
        <v>0</v>
      </c>
      <c r="B394" s="107">
        <f>IF($A391&lt;&gt;0,VLOOKUP($A391,Liste!$A$10:$W$59,7,FALSE),"")</f>
        <v>0</v>
      </c>
      <c r="F394" s="172"/>
      <c r="G394" s="82"/>
      <c r="H394" s="82"/>
      <c r="I394" s="82"/>
      <c r="J394" s="82"/>
      <c r="K394" s="82"/>
      <c r="L394" s="89"/>
      <c r="M394" s="83"/>
    </row>
    <row r="395" spans="1:13" x14ac:dyDescent="0.25">
      <c r="A395" s="115" t="str">
        <f xml:space="preserve"> IF($A391&lt;&gt;0, "Lot " &amp; VLOOKUP($A391,Liste!$A$10:$W$59,9,FALSE),"")</f>
        <v xml:space="preserve">Lot </v>
      </c>
      <c r="B395" s="111">
        <f>IF($A391&lt;&gt;0,VLOOKUP($A391,Liste!$A$10:$W$59,10,FALSE),"")</f>
        <v>0</v>
      </c>
      <c r="C395" s="110">
        <f>IF($A391&lt;&gt;0,VLOOKUP($A391,Liste!$A$10:$W$59,11,FALSE),"")</f>
        <v>0</v>
      </c>
      <c r="F395" s="172"/>
      <c r="G395" s="82"/>
      <c r="H395" s="82"/>
      <c r="I395" s="82"/>
      <c r="J395" s="82"/>
      <c r="K395" s="82"/>
      <c r="L395" s="89"/>
      <c r="M395" s="83"/>
    </row>
    <row r="396" spans="1:13" ht="13.8" thickBot="1" x14ac:dyDescent="0.3">
      <c r="A396" s="115" t="str">
        <f>IF($A391&lt;&gt;0,"Lot " &amp; VLOOKUP($A391,Liste!$A$10:$W$59,12,FALSE),"")</f>
        <v xml:space="preserve">Lot </v>
      </c>
      <c r="B396" s="111">
        <f>IF($A391&lt;&gt;0,VLOOKUP($A391,Liste!$A$10:$W$59,13,FALSE),"")</f>
        <v>0</v>
      </c>
      <c r="C396" s="110">
        <f>IF($A391&lt;&gt;0,VLOOKUP($A391,Liste!$A$10:$W$59,14,FALSE),"")</f>
        <v>0</v>
      </c>
      <c r="D396" s="111"/>
      <c r="E396" s="116"/>
      <c r="F396" s="173"/>
      <c r="G396" s="122"/>
      <c r="H396" s="122"/>
      <c r="I396" s="122"/>
      <c r="J396" s="122"/>
      <c r="K396" s="122"/>
      <c r="L396" s="128"/>
      <c r="M396" s="83"/>
    </row>
    <row r="397" spans="1:13" x14ac:dyDescent="0.25">
      <c r="A397" s="192" t="str">
        <f>IF($A391&lt;&gt;0,"Lot " &amp; VLOOKUP($A391,Liste!$A$10:$W$59,15,FALSE),"")</f>
        <v xml:space="preserve">Lot </v>
      </c>
      <c r="B397" s="119">
        <f>IF($A391&lt;&gt;0,VLOOKUP($A391,Liste!$A$10:$W$59,16,FALSE),"")</f>
        <v>0</v>
      </c>
      <c r="C397" s="119">
        <f>IF($A391&lt;&gt;0,VLOOKUP($A391,Liste!$A$10:$W$59,17,FALSE),"")</f>
        <v>0</v>
      </c>
      <c r="D397" s="119"/>
      <c r="E397" s="125"/>
      <c r="F397" s="172"/>
      <c r="G397" s="168" t="s">
        <v>159</v>
      </c>
      <c r="H397" s="174" t="s">
        <v>160</v>
      </c>
      <c r="I397" s="84"/>
      <c r="J397" s="84"/>
      <c r="K397" s="84"/>
      <c r="L397" s="108"/>
      <c r="M397" s="83"/>
    </row>
    <row r="398" spans="1:13" x14ac:dyDescent="0.25">
      <c r="A398" s="192" t="str">
        <f>IF($A391&lt;&gt;0,"Lot " &amp; VLOOKUP($A391,Liste!$A$10:$W$59,18,FALSE),"")</f>
        <v xml:space="preserve">Lot </v>
      </c>
      <c r="B398" s="119">
        <f>IF($A391&lt;&gt;0,VLOOKUP($A391,Liste!$A$10:$W$59,19,FALSE),"")</f>
        <v>0</v>
      </c>
      <c r="C398" s="119">
        <f>IF($A391&lt;&gt;0,VLOOKUP($A391,Liste!$A$10:$W$59,19,FALSE),"")</f>
        <v>0</v>
      </c>
      <c r="F398" s="172"/>
      <c r="G398" s="169" t="s">
        <v>161</v>
      </c>
      <c r="H398" s="174" t="s">
        <v>160</v>
      </c>
      <c r="I398" s="167"/>
      <c r="J398" s="167"/>
      <c r="K398" s="167"/>
      <c r="L398" s="176"/>
      <c r="M398" s="83"/>
    </row>
    <row r="399" spans="1:13" ht="18" thickBot="1" x14ac:dyDescent="0.3">
      <c r="A399" s="193" t="str">
        <f>IF($A391&lt;&gt;0,"Lot " &amp; VLOOKUP($A391,Liste!$A$10:$W$59,21,FALSE),"")</f>
        <v xml:space="preserve">Lot </v>
      </c>
      <c r="B399" s="123">
        <f>IF($A391&lt;&gt;0,VLOOKUP($A391,Liste!$A$10:$W$59,22,FALSE),"")</f>
        <v>0</v>
      </c>
      <c r="C399" s="123">
        <f>IF($A391&lt;&gt;0,VLOOKUP($A391,Liste!$A$10:$W$59,23,FALSE),"")</f>
        <v>0</v>
      </c>
      <c r="D399" s="122"/>
      <c r="E399" s="122"/>
      <c r="F399" s="213"/>
      <c r="G399" s="212" t="str">
        <f>IF(OR(B392=0,VLOOKUP(A391,Liste!$A$10:'Liste'!$Z$59,26)&lt;&gt;""),"", "Voir autorisation messages électroniques")</f>
        <v/>
      </c>
      <c r="H399" s="212"/>
      <c r="I399" s="212"/>
      <c r="J399" s="122"/>
      <c r="K399" s="122"/>
      <c r="L399" s="128"/>
      <c r="M399" s="83"/>
    </row>
    <row r="400" spans="1:13" ht="16.5" customHeight="1" x14ac:dyDescent="0.25">
      <c r="A400" s="120">
        <f>A391+1</f>
        <v>42</v>
      </c>
      <c r="B400" s="204"/>
      <c r="C400" s="82"/>
      <c r="D400" s="82"/>
      <c r="E400" s="82"/>
      <c r="F400" s="183"/>
      <c r="G400" s="181" t="s">
        <v>162</v>
      </c>
      <c r="H400" s="166"/>
      <c r="I400" s="166"/>
      <c r="J400" s="166"/>
      <c r="K400" s="166"/>
      <c r="L400" s="175"/>
      <c r="M400" s="83"/>
    </row>
    <row r="401" spans="1:13" ht="18" thickBot="1" x14ac:dyDescent="0.35">
      <c r="A401" s="83">
        <f>IF($A400&lt;&gt;0,VLOOKUP($A400,Liste!$A$10:$W$59,3,FALSE),"")</f>
        <v>0</v>
      </c>
      <c r="B401" s="201">
        <f>IF($A400&lt;&gt;0,VLOOKUP($A400,Liste!$A$10:$W$59,4,FALSE),"")</f>
        <v>0</v>
      </c>
      <c r="E401" s="109" t="str">
        <f>IF($A400&lt;&gt;0,VLOOKUP($A400,Liste!$A$10:$W$59,8,FALSE),"")</f>
        <v/>
      </c>
      <c r="F401" s="184"/>
      <c r="G401" s="182" t="s">
        <v>158</v>
      </c>
      <c r="H401" s="106"/>
      <c r="I401" s="106"/>
      <c r="J401" s="106"/>
      <c r="K401" s="106"/>
      <c r="L401" s="26"/>
      <c r="M401" s="83"/>
    </row>
    <row r="402" spans="1:13" x14ac:dyDescent="0.25">
      <c r="A402" s="114">
        <f>IF($A400&lt;&gt;0,VLOOKUP($A400,Liste!$A$10:$W$59,5,FALSE),"")</f>
        <v>0</v>
      </c>
      <c r="B402" s="83"/>
      <c r="F402" s="170"/>
      <c r="G402" s="171" t="s">
        <v>163</v>
      </c>
      <c r="H402" s="171"/>
      <c r="I402" s="171"/>
      <c r="J402" s="171"/>
      <c r="K402" s="171"/>
      <c r="L402" s="127"/>
      <c r="M402" s="83"/>
    </row>
    <row r="403" spans="1:13" x14ac:dyDescent="0.25">
      <c r="A403" s="114">
        <f>IF($A400&lt;&gt;0,VLOOKUP($A400,Liste!$A$10:$W$59,6,FALSE),"")</f>
        <v>0</v>
      </c>
      <c r="B403" s="114">
        <f>IF($A400&lt;&gt;0,VLOOKUP($A400,Liste!$A$10:$W$59,7,FALSE),"")</f>
        <v>0</v>
      </c>
      <c r="F403" s="172"/>
      <c r="G403" s="82"/>
      <c r="H403" s="82"/>
      <c r="I403" s="82"/>
      <c r="J403" s="82"/>
      <c r="K403" s="82"/>
      <c r="L403" s="89"/>
      <c r="M403" s="83"/>
    </row>
    <row r="404" spans="1:13" x14ac:dyDescent="0.25">
      <c r="A404" s="115" t="str">
        <f xml:space="preserve"> IF($A400&lt;&gt;0, "Lot " &amp; VLOOKUP($A400,Liste!$A$10:$W$59,9,FALSE),"")</f>
        <v xml:space="preserve">Lot </v>
      </c>
      <c r="B404" s="202">
        <f>IF($A400&lt;&gt;0,VLOOKUP($A400,Liste!$A$10:$W$59,10,FALSE),"")</f>
        <v>0</v>
      </c>
      <c r="C404" s="110">
        <f>IF($A400&lt;&gt;0,VLOOKUP($A400,Liste!$A$10:$W$59,11,FALSE),"")</f>
        <v>0</v>
      </c>
      <c r="F404" s="172"/>
      <c r="G404" s="82"/>
      <c r="H404" s="82"/>
      <c r="I404" s="82"/>
      <c r="J404" s="82"/>
      <c r="K404" s="82"/>
      <c r="L404" s="89"/>
      <c r="M404" s="83"/>
    </row>
    <row r="405" spans="1:13" ht="13.8" thickBot="1" x14ac:dyDescent="0.3">
      <c r="A405" s="115" t="str">
        <f>IF($A400&lt;&gt;0,"Lot " &amp; VLOOKUP($A400,Liste!$A$10:$W$59,12,FALSE),"")</f>
        <v xml:space="preserve">Lot </v>
      </c>
      <c r="B405" s="202">
        <f>IF($A400&lt;&gt;0,VLOOKUP($A400,Liste!$A$10:$W$59,13,FALSE),"")</f>
        <v>0</v>
      </c>
      <c r="C405" s="110">
        <f>IF($A400&lt;&gt;0,VLOOKUP($A400,Liste!$A$10:$W$59,14,FALSE),"")</f>
        <v>0</v>
      </c>
      <c r="D405" s="111"/>
      <c r="E405" s="116"/>
      <c r="F405" s="173"/>
      <c r="G405" s="122"/>
      <c r="H405" s="122"/>
      <c r="I405" s="122"/>
      <c r="J405" s="122"/>
      <c r="K405" s="122"/>
      <c r="L405" s="128"/>
      <c r="M405" s="83"/>
    </row>
    <row r="406" spans="1:13" x14ac:dyDescent="0.25">
      <c r="A406" s="192" t="str">
        <f>IF($A400&lt;&gt;0,"Lot " &amp; VLOOKUP($A400,Liste!$A$10:$W$59,15,FALSE),"")</f>
        <v xml:space="preserve">Lot </v>
      </c>
      <c r="B406" s="202">
        <f>IF($A400&lt;&gt;0,VLOOKUP($A400,Liste!$A$10:$W$59,16,FALSE),"")</f>
        <v>0</v>
      </c>
      <c r="C406" s="119">
        <f>IF($A400&lt;&gt;0,VLOOKUP($A400,Liste!$A$10:$W$59,17,FALSE),"")</f>
        <v>0</v>
      </c>
      <c r="D406" s="119"/>
      <c r="E406" s="125"/>
      <c r="F406" s="172"/>
      <c r="G406" s="168" t="s">
        <v>159</v>
      </c>
      <c r="H406" s="174" t="s">
        <v>160</v>
      </c>
      <c r="I406" s="84"/>
      <c r="J406" s="84"/>
      <c r="K406" s="84"/>
      <c r="L406" s="108"/>
      <c r="M406" s="83"/>
    </row>
    <row r="407" spans="1:13" x14ac:dyDescent="0.25">
      <c r="A407" s="192" t="str">
        <f>IF($A400&lt;&gt;0,"Lot " &amp; VLOOKUP($A400,Liste!$A$10:$W$59,18,FALSE),"")</f>
        <v xml:space="preserve">Lot </v>
      </c>
      <c r="B407" s="202">
        <f>IF($A400&lt;&gt;0,VLOOKUP($A400,Liste!$A$10:$W$59,19,FALSE),"")</f>
        <v>0</v>
      </c>
      <c r="C407" s="119">
        <f>IF($A400&lt;&gt;0,VLOOKUP($A400,Liste!$A$10:$W$59,20,FALSE),"")</f>
        <v>0</v>
      </c>
      <c r="F407" s="172"/>
      <c r="G407" s="169" t="s">
        <v>161</v>
      </c>
      <c r="H407" s="174" t="s">
        <v>160</v>
      </c>
      <c r="I407" s="167"/>
      <c r="J407" s="167"/>
      <c r="K407" s="167"/>
      <c r="L407" s="176"/>
      <c r="M407" s="83"/>
    </row>
    <row r="408" spans="1:13" ht="18" thickBot="1" x14ac:dyDescent="0.3">
      <c r="A408" s="193" t="str">
        <f>IF($A400&lt;&gt;0,"Lot " &amp; VLOOKUP($A400,Liste!$A$10:$W$59,21,FALSE),"")</f>
        <v xml:space="preserve">Lot </v>
      </c>
      <c r="B408" s="203">
        <f>IF($A400&lt;&gt;0,VLOOKUP($A400,Liste!$A$10:$W$59,22,FALSE),"")</f>
        <v>0</v>
      </c>
      <c r="C408" s="123">
        <f>IF($A400&lt;&gt;0,VLOOKUP($A400,Liste!$A$10:$W$59,23,FALSE),"")</f>
        <v>0</v>
      </c>
      <c r="D408" s="122"/>
      <c r="E408" s="122"/>
      <c r="F408" s="213"/>
      <c r="G408" s="212" t="str">
        <f>IF(OR(B401=0,VLOOKUP(A400,Liste!$A$10:'Liste'!$Z$59,26)&lt;&gt;""),"", "Voir autorisation messages électroniques")</f>
        <v/>
      </c>
      <c r="H408" s="212"/>
      <c r="I408" s="212"/>
      <c r="J408" s="122"/>
      <c r="K408" s="122"/>
      <c r="L408" s="128"/>
      <c r="M408" s="83"/>
    </row>
    <row r="409" spans="1:13" ht="18.75" customHeight="1" x14ac:dyDescent="0.25">
      <c r="A409" s="120">
        <f>A400+1</f>
        <v>43</v>
      </c>
      <c r="B409" s="204"/>
      <c r="C409" s="82"/>
      <c r="D409" s="82"/>
      <c r="E409" s="82"/>
      <c r="F409" s="183"/>
      <c r="G409" s="181" t="s">
        <v>162</v>
      </c>
      <c r="H409" s="166"/>
      <c r="I409" s="166"/>
      <c r="J409" s="166"/>
      <c r="K409" s="166"/>
      <c r="L409" s="175"/>
      <c r="M409" s="83"/>
    </row>
    <row r="410" spans="1:13" ht="18" thickBot="1" x14ac:dyDescent="0.35">
      <c r="A410" s="83">
        <f>IF($A409&lt;&gt;0,VLOOKUP($A409,Liste!$A$10:$W$59,3,FALSE),"")</f>
        <v>0</v>
      </c>
      <c r="B410" s="201">
        <f>IF($A409&lt;&gt;0,VLOOKUP($A409,Liste!$A$10:$W$59,4,FALSE),"")</f>
        <v>0</v>
      </c>
      <c r="E410" s="109" t="str">
        <f>IF($A409&lt;&gt;0,VLOOKUP($A409,Liste!$A$10:$W$59,8,FALSE),"")</f>
        <v/>
      </c>
      <c r="F410" s="184"/>
      <c r="G410" s="182" t="s">
        <v>158</v>
      </c>
      <c r="H410" s="106"/>
      <c r="I410" s="106"/>
      <c r="J410" s="106"/>
      <c r="K410" s="106"/>
      <c r="L410" s="26"/>
      <c r="M410" s="83"/>
    </row>
    <row r="411" spans="1:13" x14ac:dyDescent="0.25">
      <c r="A411" s="114">
        <f>IF($A409&lt;&gt;0,VLOOKUP($A409,Liste!$A$10:$W$59,5,FALSE),"")</f>
        <v>0</v>
      </c>
      <c r="B411" s="83"/>
      <c r="F411" s="170"/>
      <c r="G411" s="171" t="s">
        <v>163</v>
      </c>
      <c r="H411" s="171"/>
      <c r="I411" s="171"/>
      <c r="J411" s="171"/>
      <c r="K411" s="171"/>
      <c r="L411" s="127"/>
      <c r="M411" s="83"/>
    </row>
    <row r="412" spans="1:13" x14ac:dyDescent="0.25">
      <c r="A412" s="114">
        <f>IF($A409&lt;&gt;0,VLOOKUP($A409,Liste!$A$10:$W$59,6,FALSE),"")</f>
        <v>0</v>
      </c>
      <c r="B412" s="114">
        <f>IF($A409&lt;&gt;0,VLOOKUP($A409,Liste!$A$10:$W$59,7,FALSE),"")</f>
        <v>0</v>
      </c>
      <c r="F412" s="172"/>
      <c r="G412" s="82"/>
      <c r="H412" s="82"/>
      <c r="I412" s="82"/>
      <c r="J412" s="82"/>
      <c r="K412" s="82"/>
      <c r="L412" s="89"/>
      <c r="M412" s="83"/>
    </row>
    <row r="413" spans="1:13" x14ac:dyDescent="0.25">
      <c r="A413" s="115" t="str">
        <f xml:space="preserve"> IF($A409&lt;&gt;0, "Lot " &amp; VLOOKUP($A409,Liste!$A$10:$W$59,9,FALSE),"")</f>
        <v xml:space="preserve">Lot </v>
      </c>
      <c r="B413" s="202">
        <f>IF($A409&lt;&gt;0,VLOOKUP($A409,Liste!$A$10:$W$59,10,FALSE),"")</f>
        <v>0</v>
      </c>
      <c r="C413" s="110">
        <f>IF($A409&lt;&gt;0,VLOOKUP($A409,Liste!$A$10:$W$59,11,FALSE),"")</f>
        <v>0</v>
      </c>
      <c r="F413" s="172"/>
      <c r="G413" s="82"/>
      <c r="H413" s="82"/>
      <c r="I413" s="82"/>
      <c r="J413" s="82"/>
      <c r="K413" s="82"/>
      <c r="L413" s="89"/>
      <c r="M413" s="83"/>
    </row>
    <row r="414" spans="1:13" ht="13.8" thickBot="1" x14ac:dyDescent="0.3">
      <c r="A414" s="115" t="str">
        <f>IF($A409&lt;&gt;0,"Lot " &amp; VLOOKUP($A409,Liste!$A$10:$W$59,12,FALSE),"")</f>
        <v xml:space="preserve">Lot </v>
      </c>
      <c r="B414" s="202">
        <f>IF($A409&lt;&gt;0,VLOOKUP($A409,Liste!$A$10:$W$59,13,FALSE),"")</f>
        <v>0</v>
      </c>
      <c r="C414" s="110">
        <f>IF($A409&lt;&gt;0,VLOOKUP($A409,Liste!$A$10:$W$59,14,FALSE),"")</f>
        <v>0</v>
      </c>
      <c r="D414" s="111"/>
      <c r="E414" s="116"/>
      <c r="F414" s="173"/>
      <c r="G414" s="122"/>
      <c r="H414" s="122"/>
      <c r="I414" s="122"/>
      <c r="J414" s="122"/>
      <c r="K414" s="122"/>
      <c r="L414" s="128"/>
      <c r="M414" s="83"/>
    </row>
    <row r="415" spans="1:13" x14ac:dyDescent="0.25">
      <c r="A415" s="192" t="str">
        <f>IF($A409&lt;&gt;0,"Lot " &amp; VLOOKUP($A409,Liste!$A$10:$W$59,15,FALSE),"")</f>
        <v xml:space="preserve">Lot </v>
      </c>
      <c r="B415" s="202">
        <f>IF($A409&lt;&gt;0,VLOOKUP($A409,Liste!$A$10:$W$59,16,FALSE),"")</f>
        <v>0</v>
      </c>
      <c r="C415" s="119">
        <f>IF($A409&lt;&gt;0,VLOOKUP($A409,Liste!$A$10:$W$59,17,FALSE),"")</f>
        <v>0</v>
      </c>
      <c r="D415" s="119"/>
      <c r="E415" s="125"/>
      <c r="F415" s="172"/>
      <c r="G415" s="168" t="s">
        <v>159</v>
      </c>
      <c r="H415" s="174" t="s">
        <v>160</v>
      </c>
      <c r="I415" s="84"/>
      <c r="J415" s="84"/>
      <c r="K415" s="84"/>
      <c r="L415" s="108"/>
      <c r="M415" s="83"/>
    </row>
    <row r="416" spans="1:13" x14ac:dyDescent="0.25">
      <c r="A416" s="192" t="str">
        <f>IF($A409&lt;&gt;0,"Lot " &amp; VLOOKUP($A409,Liste!$A$10:$W$59,18,FALSE),"")</f>
        <v xml:space="preserve">Lot </v>
      </c>
      <c r="B416" s="202">
        <f>IF($A409&lt;&gt;0,VLOOKUP($A409,Liste!$A$10:$W$59,19,FALSE),"")</f>
        <v>0</v>
      </c>
      <c r="C416" s="119">
        <f>IF($A409&lt;&gt;0,VLOOKUP($A409,Liste!$A$10:$W$59,20,FALSE),"")</f>
        <v>0</v>
      </c>
      <c r="F416" s="172"/>
      <c r="G416" s="169" t="s">
        <v>161</v>
      </c>
      <c r="H416" s="174" t="s">
        <v>160</v>
      </c>
      <c r="I416" s="167"/>
      <c r="J416" s="167"/>
      <c r="K416" s="167"/>
      <c r="L416" s="176"/>
      <c r="M416" s="83"/>
    </row>
    <row r="417" spans="1:13" ht="18" thickBot="1" x14ac:dyDescent="0.3">
      <c r="A417" s="193" t="str">
        <f>IF($A409&lt;&gt;0,"Lot " &amp; VLOOKUP($A409,Liste!$A$10:$W$59,21,FALSE),"")</f>
        <v xml:space="preserve">Lot </v>
      </c>
      <c r="B417" s="203">
        <f>IF($A409&lt;&gt;0,VLOOKUP($A409,Liste!$A$10:$W$59,22,FALSE),"")</f>
        <v>0</v>
      </c>
      <c r="C417" s="123">
        <f>IF($A409&lt;&gt;0,VLOOKUP($A409,Liste!$A$10:$W$59,23,FALSE),"")</f>
        <v>0</v>
      </c>
      <c r="D417" s="122"/>
      <c r="E417" s="122"/>
      <c r="F417" s="213"/>
      <c r="G417" s="212" t="str">
        <f>IF(OR(B410=0,VLOOKUP(A409,Liste!$A$10:'Liste'!$Z$59,26)&lt;&gt;""),"", "Voir autorisation messages électroniques")</f>
        <v/>
      </c>
      <c r="H417" s="212"/>
      <c r="I417" s="212"/>
      <c r="J417" s="122"/>
      <c r="K417" s="122"/>
      <c r="L417" s="128"/>
      <c r="M417" s="83"/>
    </row>
    <row r="418" spans="1:13" ht="19.5" customHeight="1" x14ac:dyDescent="0.25">
      <c r="A418" s="120">
        <f>A409+1</f>
        <v>44</v>
      </c>
      <c r="B418" s="204"/>
      <c r="C418" s="82"/>
      <c r="D418" s="82"/>
      <c r="E418" s="82"/>
      <c r="F418" s="183"/>
      <c r="G418" s="181" t="s">
        <v>162</v>
      </c>
      <c r="H418" s="166"/>
      <c r="I418" s="166"/>
      <c r="J418" s="166"/>
      <c r="K418" s="166"/>
      <c r="L418" s="175"/>
      <c r="M418" s="83"/>
    </row>
    <row r="419" spans="1:13" ht="18" thickBot="1" x14ac:dyDescent="0.35">
      <c r="A419" s="83">
        <f>IF($A418&lt;&gt;0,VLOOKUP($A418,Liste!$A$10:$W$59,3,FALSE),"")</f>
        <v>0</v>
      </c>
      <c r="B419" s="201">
        <f>IF($A418&lt;&gt;0,VLOOKUP($A418,Liste!$A$10:$W$59,4,FALSE),"")</f>
        <v>0</v>
      </c>
      <c r="E419" s="109" t="str">
        <f>IF($A418&lt;&gt;0,VLOOKUP($A418,Liste!$A$10:$W$59,8,FALSE),"")</f>
        <v/>
      </c>
      <c r="F419" s="184"/>
      <c r="G419" s="182" t="s">
        <v>158</v>
      </c>
      <c r="H419" s="106"/>
      <c r="I419" s="106"/>
      <c r="J419" s="106"/>
      <c r="K419" s="106"/>
      <c r="L419" s="26"/>
      <c r="M419" s="83"/>
    </row>
    <row r="420" spans="1:13" x14ac:dyDescent="0.25">
      <c r="A420" s="114">
        <f>IF($A418&lt;&gt;0,VLOOKUP($A418,Liste!$A$10:$W$59,5,FALSE),"")</f>
        <v>0</v>
      </c>
      <c r="B420" s="83"/>
      <c r="F420" s="170"/>
      <c r="G420" s="171" t="s">
        <v>163</v>
      </c>
      <c r="H420" s="171"/>
      <c r="I420" s="171"/>
      <c r="J420" s="171"/>
      <c r="K420" s="171"/>
      <c r="L420" s="127"/>
      <c r="M420" s="83"/>
    </row>
    <row r="421" spans="1:13" x14ac:dyDescent="0.25">
      <c r="A421" s="114">
        <f>IF($A418&lt;&gt;0,VLOOKUP($A418,Liste!$A$10:$W$59,6,FALSE),"")</f>
        <v>0</v>
      </c>
      <c r="B421" s="114">
        <f>IF($A418&lt;&gt;0,VLOOKUP($A418,Liste!$A$10:$W$59,7,FALSE),"")</f>
        <v>0</v>
      </c>
      <c r="F421" s="172"/>
      <c r="G421" s="82"/>
      <c r="H421" s="82"/>
      <c r="I421" s="82"/>
      <c r="J421" s="82"/>
      <c r="K421" s="82"/>
      <c r="L421" s="89"/>
      <c r="M421" s="83"/>
    </row>
    <row r="422" spans="1:13" x14ac:dyDescent="0.25">
      <c r="A422" s="115" t="str">
        <f xml:space="preserve"> IF($A418&lt;&gt;0, "Lot " &amp; VLOOKUP($A418,Liste!$A$10:$W$59,9,FALSE),"")</f>
        <v xml:space="preserve">Lot </v>
      </c>
      <c r="B422" s="202">
        <f>IF($A418&lt;&gt;0,VLOOKUP($A418,Liste!$A$10:$W$59,10,FALSE),"")</f>
        <v>0</v>
      </c>
      <c r="C422" s="110">
        <f>IF($A418&lt;&gt;0,VLOOKUP($A418,Liste!$A$10:$W$59,11,FALSE),"")</f>
        <v>0</v>
      </c>
      <c r="F422" s="172"/>
      <c r="G422" s="82"/>
      <c r="H422" s="82"/>
      <c r="I422" s="82"/>
      <c r="J422" s="82"/>
      <c r="K422" s="82"/>
      <c r="L422" s="89"/>
      <c r="M422" s="83"/>
    </row>
    <row r="423" spans="1:13" ht="13.8" thickBot="1" x14ac:dyDescent="0.3">
      <c r="A423" s="115" t="str">
        <f>IF($A418&lt;&gt;0,"Lot " &amp; VLOOKUP($A418,Liste!$A$10:$W$59,12,FALSE),"")</f>
        <v xml:space="preserve">Lot </v>
      </c>
      <c r="B423" s="202">
        <f>IF($A418&lt;&gt;0,VLOOKUP($A418,Liste!$A$10:$W$59,13,FALSE),"")</f>
        <v>0</v>
      </c>
      <c r="C423" s="110">
        <f>IF($A418&lt;&gt;0,VLOOKUP($A418,Liste!$A$10:$W$59,14,FALSE),"")</f>
        <v>0</v>
      </c>
      <c r="D423" s="111"/>
      <c r="E423" s="116"/>
      <c r="F423" s="173"/>
      <c r="G423" s="122"/>
      <c r="H423" s="122"/>
      <c r="I423" s="122"/>
      <c r="J423" s="122"/>
      <c r="K423" s="122"/>
      <c r="L423" s="128"/>
      <c r="M423" s="83"/>
    </row>
    <row r="424" spans="1:13" x14ac:dyDescent="0.25">
      <c r="A424" s="192" t="str">
        <f>IF($A418&lt;&gt;0,"Lot " &amp; VLOOKUP($A418,Liste!$A$10:$W$59,15,FALSE),"")</f>
        <v xml:space="preserve">Lot </v>
      </c>
      <c r="B424" s="202">
        <f>IF($A418&lt;&gt;0,VLOOKUP($A418,Liste!$A$10:$W$59,16,FALSE),"")</f>
        <v>0</v>
      </c>
      <c r="C424" s="119">
        <f>IF($A418&lt;&gt;0,VLOOKUP($A418,Liste!$A$10:$W$59,17,FALSE),"")</f>
        <v>0</v>
      </c>
      <c r="D424" s="119"/>
      <c r="E424" s="125"/>
      <c r="F424" s="172"/>
      <c r="G424" s="168" t="s">
        <v>159</v>
      </c>
      <c r="H424" s="174" t="s">
        <v>160</v>
      </c>
      <c r="I424" s="84"/>
      <c r="J424" s="84"/>
      <c r="K424" s="84"/>
      <c r="L424" s="108"/>
      <c r="M424" s="83"/>
    </row>
    <row r="425" spans="1:13" x14ac:dyDescent="0.25">
      <c r="A425" s="192" t="str">
        <f>IF($A418&lt;&gt;0,"Lot " &amp; VLOOKUP($A418,Liste!$A$10:$W$59,18,FALSE),"")</f>
        <v xml:space="preserve">Lot </v>
      </c>
      <c r="B425" s="202">
        <f>IF($A418&lt;&gt;0,VLOOKUP($A418,Liste!$A$10:$W$59,19,FALSE),"")</f>
        <v>0</v>
      </c>
      <c r="C425" s="119">
        <f>IF($A418&lt;&gt;0,VLOOKUP($A418,Liste!$A$10:$W$59,20,FALSE),"")</f>
        <v>0</v>
      </c>
      <c r="F425" s="172"/>
      <c r="G425" s="169" t="s">
        <v>161</v>
      </c>
      <c r="H425" s="174" t="s">
        <v>160</v>
      </c>
      <c r="I425" s="167"/>
      <c r="J425" s="167"/>
      <c r="K425" s="167"/>
      <c r="L425" s="176"/>
      <c r="M425" s="83"/>
    </row>
    <row r="426" spans="1:13" ht="18" thickBot="1" x14ac:dyDescent="0.3">
      <c r="A426" s="193" t="str">
        <f>IF($A418&lt;&gt;0,"Lot " &amp; VLOOKUP($A418,Liste!$A$10:$W$59,21,FALSE),"")</f>
        <v xml:space="preserve">Lot </v>
      </c>
      <c r="B426" s="203">
        <f>IF($A418&lt;&gt;0,VLOOKUP($A418,Liste!$A$10:$W$59,22,FALSE),"")</f>
        <v>0</v>
      </c>
      <c r="C426" s="123">
        <f>IF($A418&lt;&gt;0,VLOOKUP($A418,Liste!$A$10:$W$59,23,FALSE),"")</f>
        <v>0</v>
      </c>
      <c r="D426" s="122"/>
      <c r="E426" s="122"/>
      <c r="F426" s="213"/>
      <c r="G426" s="212" t="str">
        <f>IF(OR(B419=0,VLOOKUP(A418,Liste!$A$10:'Liste'!$Z$59,26)&lt;&gt;""),"", "Voir autorisation messages électroniques")</f>
        <v/>
      </c>
      <c r="H426" s="212"/>
      <c r="I426" s="212"/>
      <c r="J426" s="122"/>
      <c r="K426" s="122"/>
      <c r="L426" s="128"/>
      <c r="M426" s="83"/>
    </row>
    <row r="427" spans="1:13" ht="16.5" customHeight="1" x14ac:dyDescent="0.25">
      <c r="A427" s="120">
        <f>A418+1</f>
        <v>45</v>
      </c>
      <c r="B427" s="204"/>
      <c r="C427" s="82"/>
      <c r="D427" s="82"/>
      <c r="E427" s="82"/>
      <c r="F427" s="183"/>
      <c r="G427" s="181" t="s">
        <v>162</v>
      </c>
      <c r="H427" s="166"/>
      <c r="I427" s="166"/>
      <c r="J427" s="166"/>
      <c r="K427" s="166"/>
      <c r="L427" s="175"/>
      <c r="M427" s="83"/>
    </row>
    <row r="428" spans="1:13" ht="18" thickBot="1" x14ac:dyDescent="0.35">
      <c r="A428" s="83">
        <f>IF($A427&lt;&gt;0,VLOOKUP($A427,Liste!$A$10:$W$59,3,FALSE),"")</f>
        <v>0</v>
      </c>
      <c r="B428" s="201">
        <f>IF($A427&lt;&gt;0,VLOOKUP($A427,Liste!$A$10:$W$59,4,FALSE),"")</f>
        <v>0</v>
      </c>
      <c r="E428" s="109" t="str">
        <f>IF($A427&lt;&gt;0,VLOOKUP($A427,Liste!$A$10:$W$59,8,FALSE),"")</f>
        <v/>
      </c>
      <c r="F428" s="184"/>
      <c r="G428" s="182" t="s">
        <v>158</v>
      </c>
      <c r="H428" s="106"/>
      <c r="I428" s="106"/>
      <c r="J428" s="106"/>
      <c r="K428" s="106"/>
      <c r="L428" s="26"/>
      <c r="M428" s="83"/>
    </row>
    <row r="429" spans="1:13" x14ac:dyDescent="0.25">
      <c r="A429" s="114">
        <f>IF($A427&lt;&gt;0,VLOOKUP($A427,Liste!$A$10:$W$59,5,FALSE),"")</f>
        <v>0</v>
      </c>
      <c r="B429" s="83"/>
      <c r="F429" s="170"/>
      <c r="G429" s="171" t="s">
        <v>163</v>
      </c>
      <c r="H429" s="171"/>
      <c r="I429" s="171"/>
      <c r="J429" s="171"/>
      <c r="K429" s="171"/>
      <c r="L429" s="127"/>
      <c r="M429" s="83"/>
    </row>
    <row r="430" spans="1:13" x14ac:dyDescent="0.25">
      <c r="A430" s="114">
        <f>IF($A427&lt;&gt;0,VLOOKUP($A427,Liste!$A$10:$W$59,6,FALSE),"")</f>
        <v>0</v>
      </c>
      <c r="B430" s="114">
        <f>IF($A427&lt;&gt;0,VLOOKUP($A427,Liste!$A$10:$W$59,7,FALSE),"")</f>
        <v>0</v>
      </c>
      <c r="F430" s="172"/>
      <c r="G430" s="82"/>
      <c r="H430" s="82"/>
      <c r="I430" s="82"/>
      <c r="J430" s="82"/>
      <c r="K430" s="82"/>
      <c r="L430" s="89"/>
      <c r="M430" s="83"/>
    </row>
    <row r="431" spans="1:13" x14ac:dyDescent="0.25">
      <c r="A431" s="115" t="str">
        <f xml:space="preserve"> IF($A427&lt;&gt;0, "Lot " &amp; VLOOKUP($A427,Liste!$A$10:$W$59,9,FALSE),"")</f>
        <v xml:space="preserve">Lot </v>
      </c>
      <c r="B431" s="202">
        <f>IF($A427&lt;&gt;0,VLOOKUP($A427,Liste!$A$10:$W$59,10,FALSE),"")</f>
        <v>0</v>
      </c>
      <c r="C431" s="110">
        <f>IF($A427&lt;&gt;0,VLOOKUP($A427,Liste!$A$10:$W$59,11,FALSE),"")</f>
        <v>0</v>
      </c>
      <c r="F431" s="172"/>
      <c r="G431" s="82"/>
      <c r="H431" s="82"/>
      <c r="I431" s="82"/>
      <c r="J431" s="82"/>
      <c r="K431" s="82"/>
      <c r="L431" s="89"/>
      <c r="M431" s="83"/>
    </row>
    <row r="432" spans="1:13" ht="13.8" thickBot="1" x14ac:dyDescent="0.3">
      <c r="A432" s="115" t="str">
        <f>IF($A427&lt;&gt;0,"Lot " &amp; VLOOKUP($A427,Liste!$A$10:$W$59,12,FALSE),"")</f>
        <v xml:space="preserve">Lot </v>
      </c>
      <c r="B432" s="202">
        <f>IF($A427&lt;&gt;0,VLOOKUP($A427,Liste!$A$10:$W$59,13,FALSE),"")</f>
        <v>0</v>
      </c>
      <c r="C432" s="110">
        <f>IF($A427&lt;&gt;0,VLOOKUP($A427,Liste!$A$10:$W$59,14,FALSE),"")</f>
        <v>0</v>
      </c>
      <c r="D432" s="111"/>
      <c r="E432" s="116"/>
      <c r="F432" s="173"/>
      <c r="G432" s="122"/>
      <c r="H432" s="122"/>
      <c r="I432" s="122"/>
      <c r="J432" s="122"/>
      <c r="K432" s="122"/>
      <c r="L432" s="128"/>
      <c r="M432" s="83"/>
    </row>
    <row r="433" spans="1:13" x14ac:dyDescent="0.25">
      <c r="A433" s="192" t="str">
        <f>IF($A427&lt;&gt;0,"Lot " &amp; VLOOKUP($A427,Liste!$A$10:$W$59,15,FALSE),"")</f>
        <v xml:space="preserve">Lot </v>
      </c>
      <c r="B433" s="202">
        <f>IF($A427&lt;&gt;0,VLOOKUP($A427,Liste!$A$10:$W$59,16,FALSE),"")</f>
        <v>0</v>
      </c>
      <c r="C433" s="119">
        <f>IF($A427&lt;&gt;0,VLOOKUP($A427,Liste!$A$10:$W$59,17,FALSE),"")</f>
        <v>0</v>
      </c>
      <c r="D433" s="119"/>
      <c r="E433" s="125"/>
      <c r="F433" s="172"/>
      <c r="G433" s="168" t="s">
        <v>159</v>
      </c>
      <c r="H433" s="174" t="s">
        <v>160</v>
      </c>
      <c r="I433" s="84"/>
      <c r="J433" s="84"/>
      <c r="K433" s="84"/>
      <c r="L433" s="108"/>
      <c r="M433" s="83"/>
    </row>
    <row r="434" spans="1:13" x14ac:dyDescent="0.25">
      <c r="A434" s="192" t="str">
        <f>IF($A427&lt;&gt;0,"Lot " &amp; VLOOKUP($A427,Liste!$A$10:$W$59,18,FALSE),"")</f>
        <v xml:space="preserve">Lot </v>
      </c>
      <c r="B434" s="202">
        <f>IF($A427&lt;&gt;0,VLOOKUP($A427,Liste!$A$10:$W$59,19,FALSE),"")</f>
        <v>0</v>
      </c>
      <c r="C434" s="119">
        <f>IF($A427&lt;&gt;0,VLOOKUP($A427,Liste!$A$10:$W$59,20,FALSE),"")</f>
        <v>0</v>
      </c>
      <c r="F434" s="172"/>
      <c r="G434" s="169" t="s">
        <v>161</v>
      </c>
      <c r="H434" s="174" t="s">
        <v>160</v>
      </c>
      <c r="I434" s="167"/>
      <c r="J434" s="167"/>
      <c r="K434" s="167"/>
      <c r="L434" s="176"/>
      <c r="M434" s="83"/>
    </row>
    <row r="435" spans="1:13" ht="18" thickBot="1" x14ac:dyDescent="0.3">
      <c r="A435" s="193" t="str">
        <f>IF($A427&lt;&gt;0,"Lot " &amp; VLOOKUP($A427,Liste!$A$10:$W$59,21,FALSE),"")</f>
        <v xml:space="preserve">Lot </v>
      </c>
      <c r="B435" s="203">
        <f>IF($A427&lt;&gt;0,VLOOKUP($A427,Liste!$A$10:$W$59,22,FALSE),"")</f>
        <v>0</v>
      </c>
      <c r="C435" s="123">
        <f>IF($A427&lt;&gt;0,VLOOKUP($A427,Liste!$A$10:$W$59,23,FALSE),"")</f>
        <v>0</v>
      </c>
      <c r="D435" s="122"/>
      <c r="E435" s="122"/>
      <c r="F435" s="213"/>
      <c r="G435" s="212" t="str">
        <f>IF(OR(B428=0,VLOOKUP(A427,Liste!$A$10:'Liste'!$Z$59,26)&lt;&gt;""),"", "Voir autorisation messages électroniques")</f>
        <v/>
      </c>
      <c r="H435" s="212"/>
      <c r="I435" s="212"/>
      <c r="J435" s="122"/>
      <c r="K435" s="122"/>
      <c r="L435" s="128"/>
      <c r="M435" s="83"/>
    </row>
    <row r="436" spans="1:13" ht="18" customHeight="1" x14ac:dyDescent="0.25">
      <c r="A436" s="120">
        <f>A427+1</f>
        <v>46</v>
      </c>
      <c r="B436" s="204"/>
      <c r="C436" s="82"/>
      <c r="D436" s="82"/>
      <c r="E436" s="82"/>
      <c r="F436" s="183"/>
      <c r="G436" s="181" t="s">
        <v>162</v>
      </c>
      <c r="H436" s="166"/>
      <c r="I436" s="166"/>
      <c r="J436" s="166"/>
      <c r="K436" s="166"/>
      <c r="L436" s="175"/>
      <c r="M436" s="83"/>
    </row>
    <row r="437" spans="1:13" ht="18" thickBot="1" x14ac:dyDescent="0.35">
      <c r="A437" s="83">
        <f>IF($A436&lt;&gt;0,VLOOKUP($A436,Liste!$A$10:$W$59,3,FALSE),"")</f>
        <v>0</v>
      </c>
      <c r="B437" s="201">
        <f>IF($A436&lt;&gt;0,VLOOKUP($A436,Liste!$A$10:$W$59,4,FALSE),"")</f>
        <v>0</v>
      </c>
      <c r="E437" s="109" t="str">
        <f>IF($A436&lt;&gt;0,VLOOKUP($A436,Liste!$A$10:$W$59,8,FALSE),"")</f>
        <v/>
      </c>
      <c r="F437" s="184"/>
      <c r="G437" s="182" t="s">
        <v>158</v>
      </c>
      <c r="H437" s="106"/>
      <c r="I437" s="106"/>
      <c r="J437" s="106"/>
      <c r="K437" s="106"/>
      <c r="L437" s="26"/>
      <c r="M437" s="83"/>
    </row>
    <row r="438" spans="1:13" x14ac:dyDescent="0.25">
      <c r="A438" s="114">
        <f>IF($A436&lt;&gt;0,VLOOKUP($A436,Liste!$A$10:$W$59,5,FALSE),"")</f>
        <v>0</v>
      </c>
      <c r="B438" s="83"/>
      <c r="F438" s="170"/>
      <c r="G438" s="171" t="s">
        <v>163</v>
      </c>
      <c r="H438" s="171"/>
      <c r="I438" s="171"/>
      <c r="J438" s="171"/>
      <c r="K438" s="171"/>
      <c r="L438" s="127"/>
      <c r="M438" s="83"/>
    </row>
    <row r="439" spans="1:13" x14ac:dyDescent="0.25">
      <c r="A439" s="114">
        <f>IF($A436&lt;&gt;0,VLOOKUP($A436,Liste!$A$10:$W$59,6,FALSE),"")</f>
        <v>0</v>
      </c>
      <c r="B439" s="114">
        <f>IF($A436&lt;&gt;0,VLOOKUP($A436,Liste!$A$10:$W$59,7,FALSE),"")</f>
        <v>0</v>
      </c>
      <c r="F439" s="172"/>
      <c r="G439" s="82"/>
      <c r="H439" s="82"/>
      <c r="I439" s="82"/>
      <c r="J439" s="82"/>
      <c r="K439" s="82"/>
      <c r="L439" s="89"/>
      <c r="M439" s="83"/>
    </row>
    <row r="440" spans="1:13" x14ac:dyDescent="0.25">
      <c r="A440" s="115" t="str">
        <f xml:space="preserve"> IF($A436&lt;&gt;0, "Lot " &amp; VLOOKUP($A436,Liste!$A$10:$W$59,9,FALSE),"")</f>
        <v xml:space="preserve">Lot </v>
      </c>
      <c r="B440" s="202">
        <f>IF($A436&lt;&gt;0,VLOOKUP($A436,Liste!$A$10:$W$59,10,FALSE),"")</f>
        <v>0</v>
      </c>
      <c r="C440" s="110">
        <f>IF($A436&lt;&gt;0,VLOOKUP($A436,Liste!$A$10:$W$59,11,FALSE),"")</f>
        <v>0</v>
      </c>
      <c r="F440" s="172"/>
      <c r="G440" s="82"/>
      <c r="H440" s="82"/>
      <c r="I440" s="82"/>
      <c r="J440" s="82"/>
      <c r="K440" s="82"/>
      <c r="L440" s="89"/>
      <c r="M440" s="83"/>
    </row>
    <row r="441" spans="1:13" ht="13.8" thickBot="1" x14ac:dyDescent="0.3">
      <c r="A441" s="115" t="str">
        <f>IF($A436&lt;&gt;0,"Lot " &amp; VLOOKUP($A436,Liste!$A$10:$W$59,12,FALSE),"")</f>
        <v xml:space="preserve">Lot </v>
      </c>
      <c r="B441" s="202">
        <f>IF($A436&lt;&gt;0,VLOOKUP($A436,Liste!$A$10:$W$59,13,FALSE),"")</f>
        <v>0</v>
      </c>
      <c r="C441" s="110">
        <f>IF($A436&lt;&gt;0,VLOOKUP($A436,Liste!$A$10:$W$59,14,FALSE),"")</f>
        <v>0</v>
      </c>
      <c r="D441" s="111"/>
      <c r="E441" s="116"/>
      <c r="F441" s="173"/>
      <c r="G441" s="122"/>
      <c r="H441" s="122"/>
      <c r="I441" s="122"/>
      <c r="J441" s="122"/>
      <c r="K441" s="122"/>
      <c r="L441" s="128"/>
      <c r="M441" s="83"/>
    </row>
    <row r="442" spans="1:13" x14ac:dyDescent="0.25">
      <c r="A442" s="192" t="str">
        <f>IF($A436&lt;&gt;0,"Lot " &amp; VLOOKUP($A436,Liste!$A$10:$W$59,15,FALSE),"")</f>
        <v xml:space="preserve">Lot </v>
      </c>
      <c r="B442" s="202">
        <f>IF($A436&lt;&gt;0,VLOOKUP($A436,Liste!$A$10:$W$59,16,FALSE),"")</f>
        <v>0</v>
      </c>
      <c r="C442" s="119">
        <f>IF($A436&lt;&gt;0,VLOOKUP($A436,Liste!$A$10:$W$59,17,FALSE),"")</f>
        <v>0</v>
      </c>
      <c r="D442" s="119"/>
      <c r="E442" s="125"/>
      <c r="F442" s="172"/>
      <c r="G442" s="168" t="s">
        <v>159</v>
      </c>
      <c r="H442" s="174" t="s">
        <v>160</v>
      </c>
      <c r="I442" s="84"/>
      <c r="J442" s="84"/>
      <c r="K442" s="84"/>
      <c r="L442" s="108"/>
      <c r="M442" s="83"/>
    </row>
    <row r="443" spans="1:13" x14ac:dyDescent="0.25">
      <c r="A443" s="192" t="str">
        <f>IF($A436&lt;&gt;0,"Lot " &amp; VLOOKUP($A436,Liste!$A$10:$W$59,18,FALSE),"")</f>
        <v xml:space="preserve">Lot </v>
      </c>
      <c r="B443" s="202">
        <f>IF($A436&lt;&gt;0,VLOOKUP($A436,Liste!$A$10:$W$59,19,FALSE),"")</f>
        <v>0</v>
      </c>
      <c r="C443" s="119">
        <f>IF($A436&lt;&gt;0,VLOOKUP($A436,Liste!$A$10:$W$59,20,FALSE),"")</f>
        <v>0</v>
      </c>
      <c r="F443" s="172"/>
      <c r="G443" s="169" t="s">
        <v>161</v>
      </c>
      <c r="H443" s="174" t="s">
        <v>160</v>
      </c>
      <c r="I443" s="167"/>
      <c r="J443" s="167"/>
      <c r="K443" s="167"/>
      <c r="L443" s="176"/>
      <c r="M443" s="83"/>
    </row>
    <row r="444" spans="1:13" ht="18" thickBot="1" x14ac:dyDescent="0.3">
      <c r="A444" s="193" t="str">
        <f>IF($A436&lt;&gt;0,"Lot " &amp; VLOOKUP($A436,Liste!$A$10:$W$59,21,FALSE),"")</f>
        <v xml:space="preserve">Lot </v>
      </c>
      <c r="B444" s="203">
        <f>IF($A436&lt;&gt;0,VLOOKUP($A436,Liste!$A$10:$W$59,22,FALSE),"")</f>
        <v>0</v>
      </c>
      <c r="C444" s="123">
        <f>IF($A436&lt;&gt;0,VLOOKUP($A436,Liste!$A$10:$W$59,23,FALSE),"")</f>
        <v>0</v>
      </c>
      <c r="D444" s="122"/>
      <c r="E444" s="122"/>
      <c r="F444" s="213"/>
      <c r="G444" s="212" t="str">
        <f>IF(OR(B437=0,VLOOKUP(A436,Liste!$A$10:'Liste'!$Z$59,26)&lt;&gt;""),"", "Voir autorisation messages électroniques")</f>
        <v/>
      </c>
      <c r="H444" s="212"/>
      <c r="I444" s="212"/>
      <c r="J444" s="122"/>
      <c r="K444" s="122"/>
      <c r="L444" s="128"/>
      <c r="M444" s="83"/>
    </row>
    <row r="445" spans="1:13" ht="18" customHeight="1" x14ac:dyDescent="0.25">
      <c r="A445" s="120">
        <f>A436+1</f>
        <v>47</v>
      </c>
      <c r="B445" s="204"/>
      <c r="C445" s="82"/>
      <c r="D445" s="82"/>
      <c r="E445" s="82"/>
      <c r="F445" s="183"/>
      <c r="G445" s="181" t="s">
        <v>162</v>
      </c>
      <c r="H445" s="166"/>
      <c r="I445" s="166"/>
      <c r="J445" s="166"/>
      <c r="K445" s="166"/>
      <c r="L445" s="175"/>
      <c r="M445" s="83"/>
    </row>
    <row r="446" spans="1:13" ht="18" thickBot="1" x14ac:dyDescent="0.35">
      <c r="A446" s="83">
        <f>IF($A445&lt;&gt;0,VLOOKUP($A445,Liste!$A$10:$W$59,3,FALSE),"")</f>
        <v>0</v>
      </c>
      <c r="B446" s="201">
        <f>IF($A445&lt;&gt;0,VLOOKUP($A445,Liste!$A$10:$W$59,4,FALSE),"")</f>
        <v>0</v>
      </c>
      <c r="E446" s="109" t="str">
        <f>IF($A445&lt;&gt;0,VLOOKUP($A445,Liste!$A$10:$W$59,8,FALSE),"")</f>
        <v/>
      </c>
      <c r="F446" s="184"/>
      <c r="G446" s="182" t="s">
        <v>158</v>
      </c>
      <c r="H446" s="106"/>
      <c r="I446" s="106"/>
      <c r="J446" s="106"/>
      <c r="K446" s="106"/>
      <c r="L446" s="26"/>
      <c r="M446" s="83"/>
    </row>
    <row r="447" spans="1:13" x14ac:dyDescent="0.25">
      <c r="A447" s="114">
        <f>IF($A445&lt;&gt;0,VLOOKUP($A445,Liste!$A$10:$W$59,5,FALSE),"")</f>
        <v>0</v>
      </c>
      <c r="B447" s="83"/>
      <c r="F447" s="170"/>
      <c r="G447" s="171" t="s">
        <v>163</v>
      </c>
      <c r="H447" s="171"/>
      <c r="I447" s="171"/>
      <c r="J447" s="171"/>
      <c r="K447" s="171"/>
      <c r="L447" s="127"/>
      <c r="M447" s="83"/>
    </row>
    <row r="448" spans="1:13" x14ac:dyDescent="0.25">
      <c r="A448" s="114">
        <f>IF($A445&lt;&gt;0,VLOOKUP($A445,Liste!$A$10:$W$59,6,FALSE),"")</f>
        <v>0</v>
      </c>
      <c r="B448" s="114">
        <f>IF($A445&lt;&gt;0,VLOOKUP($A445,Liste!$A$10:$W$59,7,FALSE),"")</f>
        <v>0</v>
      </c>
      <c r="F448" s="172"/>
      <c r="G448" s="82"/>
      <c r="H448" s="82"/>
      <c r="I448" s="82"/>
      <c r="J448" s="82"/>
      <c r="K448" s="82"/>
      <c r="L448" s="89"/>
      <c r="M448" s="83"/>
    </row>
    <row r="449" spans="1:13" x14ac:dyDescent="0.25">
      <c r="A449" s="115" t="str">
        <f xml:space="preserve"> IF($A445&lt;&gt;0, "Lot " &amp; VLOOKUP($A445,Liste!$A$10:$W$59,9,FALSE),"")</f>
        <v xml:space="preserve">Lot </v>
      </c>
      <c r="B449" s="202">
        <f>IF($A445&lt;&gt;0,VLOOKUP($A445,Liste!$A$10:$W$59,10,FALSE),"")</f>
        <v>0</v>
      </c>
      <c r="C449" s="110">
        <f>IF($A445&lt;&gt;0,VLOOKUP($A445,Liste!$A$10:$W$59,11,FALSE),"")</f>
        <v>0</v>
      </c>
      <c r="F449" s="172"/>
      <c r="G449" s="82"/>
      <c r="H449" s="82"/>
      <c r="I449" s="82"/>
      <c r="J449" s="82"/>
      <c r="K449" s="82"/>
      <c r="L449" s="89"/>
      <c r="M449" s="83"/>
    </row>
    <row r="450" spans="1:13" ht="13.8" thickBot="1" x14ac:dyDescent="0.3">
      <c r="A450" s="115" t="str">
        <f>IF($A445&lt;&gt;0,"Lot " &amp; VLOOKUP($A445,Liste!$A$10:$W$59,12,FALSE),"")</f>
        <v xml:space="preserve">Lot </v>
      </c>
      <c r="B450" s="202">
        <f>IF($A445&lt;&gt;0,VLOOKUP($A445,Liste!$A$10:$W$59,13,FALSE),"")</f>
        <v>0</v>
      </c>
      <c r="C450" s="110">
        <f>IF($A445&lt;&gt;0,VLOOKUP($A445,Liste!$A$10:$W$59,14,FALSE),"")</f>
        <v>0</v>
      </c>
      <c r="D450" s="111"/>
      <c r="E450" s="116"/>
      <c r="F450" s="173"/>
      <c r="G450" s="122"/>
      <c r="H450" s="122"/>
      <c r="I450" s="122"/>
      <c r="J450" s="122"/>
      <c r="K450" s="122"/>
      <c r="L450" s="128"/>
      <c r="M450" s="83"/>
    </row>
    <row r="451" spans="1:13" x14ac:dyDescent="0.25">
      <c r="A451" s="192" t="str">
        <f>IF($A445&lt;&gt;0,"Lot " &amp; VLOOKUP($A445,Liste!$A$10:$W$59,15,FALSE),"")</f>
        <v xml:space="preserve">Lot </v>
      </c>
      <c r="B451" s="202">
        <f>IF($A445&lt;&gt;0,VLOOKUP($A445,Liste!$A$10:$W$59,16,FALSE),"")</f>
        <v>0</v>
      </c>
      <c r="C451" s="119">
        <f>IF($A445&lt;&gt;0,VLOOKUP($A445,Liste!$A$10:$W$59,17,FALSE),"")</f>
        <v>0</v>
      </c>
      <c r="D451" s="119"/>
      <c r="E451" s="125"/>
      <c r="F451" s="172"/>
      <c r="G451" s="168" t="s">
        <v>159</v>
      </c>
      <c r="H451" s="174" t="s">
        <v>160</v>
      </c>
      <c r="I451" s="84"/>
      <c r="J451" s="84"/>
      <c r="K451" s="84"/>
      <c r="L451" s="108"/>
      <c r="M451" s="83"/>
    </row>
    <row r="452" spans="1:13" x14ac:dyDescent="0.25">
      <c r="A452" s="192" t="str">
        <f>IF($A445&lt;&gt;0,"Lot " &amp; VLOOKUP($A445,Liste!$A$10:$W$59,18,FALSE),"")</f>
        <v xml:space="preserve">Lot </v>
      </c>
      <c r="B452" s="202">
        <f>IF($A445&lt;&gt;0,VLOOKUP($A445,Liste!$A$10:$W$59,19,FALSE),"")</f>
        <v>0</v>
      </c>
      <c r="C452" s="119">
        <f>IF($A445&lt;&gt;0,VLOOKUP($A445,Liste!$A$10:$W$59,20,FALSE),"")</f>
        <v>0</v>
      </c>
      <c r="F452" s="172"/>
      <c r="G452" s="169" t="s">
        <v>161</v>
      </c>
      <c r="H452" s="174" t="s">
        <v>160</v>
      </c>
      <c r="I452" s="167"/>
      <c r="J452" s="167"/>
      <c r="K452" s="167"/>
      <c r="L452" s="176"/>
      <c r="M452" s="83"/>
    </row>
    <row r="453" spans="1:13" ht="18" thickBot="1" x14ac:dyDescent="0.3">
      <c r="A453" s="193" t="str">
        <f>IF($A445&lt;&gt;0,"Lot " &amp; VLOOKUP($A445,Liste!$A$10:$W$59,21,FALSE),"")</f>
        <v xml:space="preserve">Lot </v>
      </c>
      <c r="B453" s="203">
        <f>IF($A445&lt;&gt;0,VLOOKUP($A445,Liste!$A$10:$W$59,22,FALSE),"")</f>
        <v>0</v>
      </c>
      <c r="C453" s="123">
        <f>IF($A445&lt;&gt;0,VLOOKUP($A445,Liste!$A$10:$W$59,23,FALSE),"")</f>
        <v>0</v>
      </c>
      <c r="D453" s="122"/>
      <c r="E453" s="122"/>
      <c r="F453" s="213"/>
      <c r="G453" s="212" t="str">
        <f>IF(OR(B446=0,VLOOKUP(A445,Liste!$A$10:'Liste'!$Z$59,26)&lt;&gt;""),"", "Voir autorisation messages électroniques")</f>
        <v/>
      </c>
      <c r="H453" s="212"/>
      <c r="I453" s="212"/>
      <c r="J453" s="122"/>
      <c r="K453" s="122"/>
      <c r="L453" s="128"/>
      <c r="M453" s="83"/>
    </row>
    <row r="454" spans="1:13" ht="18.75" customHeight="1" x14ac:dyDescent="0.25">
      <c r="A454" s="120">
        <f>A445+1</f>
        <v>48</v>
      </c>
      <c r="B454" s="204"/>
      <c r="C454" s="82"/>
      <c r="D454" s="82"/>
      <c r="E454" s="82"/>
      <c r="F454" s="183"/>
      <c r="G454" s="181" t="s">
        <v>162</v>
      </c>
      <c r="H454" s="166"/>
      <c r="I454" s="166"/>
      <c r="J454" s="166"/>
      <c r="K454" s="166"/>
      <c r="L454" s="175"/>
      <c r="M454" s="83"/>
    </row>
    <row r="455" spans="1:13" ht="18" thickBot="1" x14ac:dyDescent="0.35">
      <c r="A455" s="83">
        <f>IF($A454&lt;&gt;0,VLOOKUP($A454,Liste!$A$10:$W$59,3,FALSE),"")</f>
        <v>0</v>
      </c>
      <c r="B455" s="201">
        <f>IF($A454&lt;&gt;0,VLOOKUP($A454,Liste!$A$10:$W$59,4,FALSE),"")</f>
        <v>0</v>
      </c>
      <c r="E455" s="109" t="str">
        <f>IF($A454&lt;&gt;0,VLOOKUP($A454,Liste!$A$10:$W$59,8,FALSE),"")</f>
        <v/>
      </c>
      <c r="F455" s="184"/>
      <c r="G455" s="182" t="s">
        <v>158</v>
      </c>
      <c r="H455" s="106"/>
      <c r="I455" s="106"/>
      <c r="J455" s="106"/>
      <c r="K455" s="106"/>
      <c r="L455" s="26"/>
      <c r="M455" s="83"/>
    </row>
    <row r="456" spans="1:13" x14ac:dyDescent="0.25">
      <c r="A456" s="114">
        <f>IF($A454&lt;&gt;0,VLOOKUP($A454,Liste!$A$10:$W$59,5,FALSE),"")</f>
        <v>0</v>
      </c>
      <c r="B456" s="83"/>
      <c r="F456" s="170"/>
      <c r="G456" s="171" t="s">
        <v>163</v>
      </c>
      <c r="H456" s="171"/>
      <c r="I456" s="171"/>
      <c r="J456" s="171"/>
      <c r="K456" s="171"/>
      <c r="L456" s="127"/>
      <c r="M456" s="83"/>
    </row>
    <row r="457" spans="1:13" x14ac:dyDescent="0.25">
      <c r="A457" s="114">
        <f>IF($A454&lt;&gt;0,VLOOKUP($A454,Liste!$A$10:$W$59,6,FALSE),"")</f>
        <v>0</v>
      </c>
      <c r="B457" s="114">
        <f>IF($A454&lt;&gt;0,VLOOKUP($A454,Liste!$A$10:$W$59,7,FALSE),"")</f>
        <v>0</v>
      </c>
      <c r="F457" s="172"/>
      <c r="G457" s="82"/>
      <c r="H457" s="82"/>
      <c r="I457" s="82"/>
      <c r="J457" s="82"/>
      <c r="K457" s="82"/>
      <c r="L457" s="89"/>
      <c r="M457" s="83"/>
    </row>
    <row r="458" spans="1:13" x14ac:dyDescent="0.25">
      <c r="A458" s="115" t="str">
        <f xml:space="preserve"> IF($A454&lt;&gt;0, "Lot " &amp; VLOOKUP($A454,Liste!$A$10:$W$59,9,FALSE),"")</f>
        <v xml:space="preserve">Lot </v>
      </c>
      <c r="B458" s="202">
        <f>IF($A454&lt;&gt;0,VLOOKUP($A454,Liste!$A$10:$W$59,10,FALSE),"")</f>
        <v>0</v>
      </c>
      <c r="C458" s="110">
        <f>IF($A454&lt;&gt;0,VLOOKUP($A454,Liste!$A$10:$W$59,11,FALSE),"")</f>
        <v>0</v>
      </c>
      <c r="F458" s="172"/>
      <c r="G458" s="82"/>
      <c r="H458" s="82"/>
      <c r="I458" s="82"/>
      <c r="J458" s="82"/>
      <c r="K458" s="82"/>
      <c r="L458" s="89"/>
      <c r="M458" s="83"/>
    </row>
    <row r="459" spans="1:13" ht="13.8" thickBot="1" x14ac:dyDescent="0.3">
      <c r="A459" s="115" t="str">
        <f>IF($A454&lt;&gt;0,"Lot " &amp; VLOOKUP($A454,Liste!$A$10:$W$59,12,FALSE),"")</f>
        <v xml:space="preserve">Lot </v>
      </c>
      <c r="B459" s="202">
        <f>IF($A454&lt;&gt;0,VLOOKUP($A454,Liste!$A$10:$W$59,13,FALSE),"")</f>
        <v>0</v>
      </c>
      <c r="C459" s="110">
        <f>IF($A454&lt;&gt;0,VLOOKUP($A454,Liste!$A$10:$W$59,14,FALSE),"")</f>
        <v>0</v>
      </c>
      <c r="D459" s="111"/>
      <c r="E459" s="116"/>
      <c r="F459" s="173"/>
      <c r="G459" s="122"/>
      <c r="H459" s="122"/>
      <c r="I459" s="122"/>
      <c r="J459" s="122"/>
      <c r="K459" s="122"/>
      <c r="L459" s="128"/>
      <c r="M459" s="83"/>
    </row>
    <row r="460" spans="1:13" x14ac:dyDescent="0.25">
      <c r="A460" s="192" t="str">
        <f>IF($A454&lt;&gt;0,"Lot " &amp; VLOOKUP($A454,Liste!$A$10:$W$59,15,FALSE),"")</f>
        <v xml:space="preserve">Lot </v>
      </c>
      <c r="B460" s="202">
        <f>IF($A454&lt;&gt;0,VLOOKUP($A454,Liste!$A$10:$W$59,16,FALSE),"")</f>
        <v>0</v>
      </c>
      <c r="C460" s="119">
        <f>IF($A454&lt;&gt;0,VLOOKUP($A454,Liste!$A$10:$W$59,17,FALSE),"")</f>
        <v>0</v>
      </c>
      <c r="D460" s="119"/>
      <c r="E460" s="125"/>
      <c r="F460" s="172"/>
      <c r="G460" s="168" t="s">
        <v>159</v>
      </c>
      <c r="H460" s="174" t="s">
        <v>160</v>
      </c>
      <c r="I460" s="84"/>
      <c r="J460" s="84"/>
      <c r="K460" s="84"/>
      <c r="L460" s="108"/>
      <c r="M460" s="83"/>
    </row>
    <row r="461" spans="1:13" x14ac:dyDescent="0.25">
      <c r="A461" s="192" t="str">
        <f>IF($A454&lt;&gt;0,"Lot " &amp; VLOOKUP($A454,Liste!$A$10:$W$59,18,FALSE),"")</f>
        <v xml:space="preserve">Lot </v>
      </c>
      <c r="B461" s="202">
        <f>IF($A454&lt;&gt;0,VLOOKUP($A454,Liste!$A$10:$W$59,19,FALSE),"")</f>
        <v>0</v>
      </c>
      <c r="C461" s="119">
        <f>IF($A454&lt;&gt;0,VLOOKUP($A454,Liste!$A$10:$W$59,20,FALSE),"")</f>
        <v>0</v>
      </c>
      <c r="F461" s="172"/>
      <c r="G461" s="169" t="s">
        <v>161</v>
      </c>
      <c r="H461" s="174" t="s">
        <v>160</v>
      </c>
      <c r="I461" s="167"/>
      <c r="J461" s="167"/>
      <c r="K461" s="167"/>
      <c r="L461" s="176"/>
      <c r="M461" s="83"/>
    </row>
    <row r="462" spans="1:13" ht="18" thickBot="1" x14ac:dyDescent="0.3">
      <c r="A462" s="193" t="str">
        <f>IF($A454&lt;&gt;0,"Lot " &amp; VLOOKUP($A454,Liste!$A$10:$W$59,21,FALSE),"")</f>
        <v xml:space="preserve">Lot </v>
      </c>
      <c r="B462" s="203">
        <f>IF($A454&lt;&gt;0,VLOOKUP($A454,Liste!$A$10:$W$59,22,FALSE),"")</f>
        <v>0</v>
      </c>
      <c r="C462" s="123">
        <f>IF($A454&lt;&gt;0,VLOOKUP($A454,Liste!$A$10:$W$59,23,FALSE),"")</f>
        <v>0</v>
      </c>
      <c r="D462" s="122"/>
      <c r="E462" s="122"/>
      <c r="F462" s="213"/>
      <c r="G462" s="212" t="str">
        <f>IF(OR(B455=0,VLOOKUP(A454,Liste!$A$10:'Liste'!$Z$59,26)&lt;&gt;""),"", "Voir autorisation messages électroniques")</f>
        <v/>
      </c>
      <c r="H462" s="212"/>
      <c r="I462" s="212"/>
      <c r="J462" s="122"/>
      <c r="K462" s="122"/>
      <c r="L462" s="128"/>
      <c r="M462" s="83"/>
    </row>
    <row r="463" spans="1:13" x14ac:dyDescent="0.25">
      <c r="G463" s="227"/>
      <c r="H463" s="227"/>
      <c r="I463" s="227"/>
      <c r="L463" s="82"/>
      <c r="M463" s="82"/>
    </row>
    <row r="464" spans="1:13" ht="17.399999999999999" x14ac:dyDescent="0.3">
      <c r="D464" s="112" t="s">
        <v>93</v>
      </c>
      <c r="E464" s="112"/>
      <c r="F464" s="112"/>
      <c r="G464" s="82"/>
      <c r="H464" s="82"/>
      <c r="I464" s="82"/>
      <c r="K464" s="133" t="s">
        <v>98</v>
      </c>
      <c r="L464" s="194">
        <f>L387+1</f>
        <v>7</v>
      </c>
      <c r="M464" s="82"/>
    </row>
    <row r="465" spans="1:13" x14ac:dyDescent="0.25">
      <c r="E465" s="133"/>
      <c r="F465" s="117" t="s">
        <v>166</v>
      </c>
      <c r="G465" s="152">
        <f>IF(A468&gt;0,Liste!$C$1,"")</f>
        <v>44084</v>
      </c>
      <c r="L465" s="82"/>
      <c r="M465" s="82"/>
    </row>
    <row r="466" spans="1:13" x14ac:dyDescent="0.25">
      <c r="D466" t="str">
        <f>IF(A468&gt;0,Liste!$C$3&amp;"; "&amp;Liste!$C$4&amp;" "&amp;Liste!$C$5,"""")</f>
        <v>Résidence Le Paradis; Rue de l' espoir 75016 PARIS</v>
      </c>
      <c r="E466" s="152"/>
      <c r="F466" s="152"/>
      <c r="G466" s="152"/>
      <c r="L466" s="82"/>
      <c r="M466" s="82"/>
    </row>
    <row r="467" spans="1:13" ht="13.8" thickBot="1" x14ac:dyDescent="0.3">
      <c r="A467" s="84"/>
      <c r="B467" s="84"/>
      <c r="C467" s="84"/>
      <c r="D467" s="82"/>
      <c r="E467" s="84"/>
      <c r="F467" s="84"/>
      <c r="G467" s="84"/>
      <c r="L467" s="82"/>
      <c r="M467" s="82"/>
    </row>
    <row r="468" spans="1:13" ht="17.25" customHeight="1" x14ac:dyDescent="0.25">
      <c r="A468" s="113">
        <f>A454+1</f>
        <v>49</v>
      </c>
      <c r="B468" s="171"/>
      <c r="C468" s="171"/>
      <c r="D468" s="171"/>
      <c r="E468" s="127"/>
      <c r="F468" s="183"/>
      <c r="G468" s="181" t="s">
        <v>162</v>
      </c>
      <c r="H468" s="166"/>
      <c r="I468" s="166"/>
      <c r="J468" s="166"/>
      <c r="K468" s="166"/>
      <c r="L468" s="175"/>
      <c r="M468" s="83"/>
    </row>
    <row r="469" spans="1:13" ht="18" thickBot="1" x14ac:dyDescent="0.35">
      <c r="A469" s="82">
        <f>IF($A468&lt;&gt;0,VLOOKUP($A468,Liste!$A$10:$W$59,3,FALSE),"")</f>
        <v>0</v>
      </c>
      <c r="B469" s="207">
        <f>IF($A468&lt;&gt;0,VLOOKUP($A468,Liste!$A$10:$W$59,4,FALSE),"")</f>
        <v>0</v>
      </c>
      <c r="C469" s="82"/>
      <c r="D469" s="82"/>
      <c r="E469" s="208" t="str">
        <f>IF($A468&lt;&gt;0,VLOOKUP($A468,Liste!$A$10:$W$59,8,FALSE),"")</f>
        <v/>
      </c>
      <c r="F469" s="184"/>
      <c r="G469" s="182" t="s">
        <v>158</v>
      </c>
      <c r="H469" s="106"/>
      <c r="I469" s="106"/>
      <c r="J469" s="106"/>
      <c r="K469" s="106"/>
      <c r="L469" s="26"/>
      <c r="M469" s="83"/>
    </row>
    <row r="470" spans="1:13" x14ac:dyDescent="0.25">
      <c r="A470" s="114">
        <f>IF($A468&lt;&gt;0,VLOOKUP($A468,Liste!$A$10:$W$59,5,FALSE),"")</f>
        <v>0</v>
      </c>
      <c r="F470" s="170"/>
      <c r="G470" s="171" t="s">
        <v>163</v>
      </c>
      <c r="H470" s="171"/>
      <c r="I470" s="171"/>
      <c r="J470" s="171"/>
      <c r="K470" s="171"/>
      <c r="L470" s="127"/>
      <c r="M470" s="83"/>
    </row>
    <row r="471" spans="1:13" x14ac:dyDescent="0.25">
      <c r="A471" s="114">
        <f>IF($A468&lt;&gt;0,VLOOKUP($A468,Liste!$A$10:$W$59,6,FALSE),"")</f>
        <v>0</v>
      </c>
      <c r="B471" s="107">
        <f>IF($A468&lt;&gt;0,VLOOKUP($A468,Liste!$A$10:$W$59,7,FALSE),"")</f>
        <v>0</v>
      </c>
      <c r="F471" s="172"/>
      <c r="G471" s="82"/>
      <c r="H471" s="82"/>
      <c r="I471" s="82"/>
      <c r="J471" s="82"/>
      <c r="K471" s="82"/>
      <c r="L471" s="89"/>
      <c r="M471" s="83"/>
    </row>
    <row r="472" spans="1:13" x14ac:dyDescent="0.25">
      <c r="A472" s="115" t="str">
        <f xml:space="preserve"> IF($A468&lt;&gt;0, "Lot " &amp; VLOOKUP($A468,Liste!$A$10:$W$59,9,FALSE),"")</f>
        <v xml:space="preserve">Lot </v>
      </c>
      <c r="B472" s="111">
        <f>IF($A468&lt;&gt;0,VLOOKUP($A468,Liste!$A$10:$W$59,10,FALSE),"")</f>
        <v>0</v>
      </c>
      <c r="C472" s="110">
        <f>IF($A468&lt;&gt;0,VLOOKUP($A468,Liste!$A$10:$W$59,11,FALSE),"")</f>
        <v>0</v>
      </c>
      <c r="F472" s="172"/>
      <c r="G472" s="82"/>
      <c r="H472" s="82"/>
      <c r="I472" s="82"/>
      <c r="J472" s="82"/>
      <c r="K472" s="82"/>
      <c r="L472" s="89"/>
      <c r="M472" s="83"/>
    </row>
    <row r="473" spans="1:13" ht="13.8" thickBot="1" x14ac:dyDescent="0.3">
      <c r="A473" s="115" t="str">
        <f>IF($A468&lt;&gt;0,"Lot " &amp; VLOOKUP($A468,Liste!$A$10:$W$59,12,FALSE),"")</f>
        <v xml:space="preserve">Lot </v>
      </c>
      <c r="B473" s="111">
        <f>IF($A468&lt;&gt;0,VLOOKUP($A468,Liste!$A$10:$W$59,13,FALSE),"")</f>
        <v>0</v>
      </c>
      <c r="C473" s="110">
        <f>IF($A468&lt;&gt;0,VLOOKUP($A468,Liste!$A$10:$W$59,14,FALSE),"")</f>
        <v>0</v>
      </c>
      <c r="D473" s="111"/>
      <c r="E473" s="116"/>
      <c r="F473" s="173"/>
      <c r="G473" s="122"/>
      <c r="H473" s="122"/>
      <c r="I473" s="122"/>
      <c r="J473" s="122"/>
      <c r="K473" s="122"/>
      <c r="L473" s="128"/>
      <c r="M473" s="83"/>
    </row>
    <row r="474" spans="1:13" x14ac:dyDescent="0.25">
      <c r="A474" s="192" t="str">
        <f>IF($A468&lt;&gt;0,"Lot " &amp; VLOOKUP($A468,Liste!$A$10:$W$59,15,FALSE),"")</f>
        <v xml:space="preserve">Lot </v>
      </c>
      <c r="B474" s="119">
        <f>IF($A468&lt;&gt;0,VLOOKUP($A468,Liste!$A$10:$W$59,16,FALSE),"")</f>
        <v>0</v>
      </c>
      <c r="C474" s="119">
        <f>IF($A468&lt;&gt;0,VLOOKUP($A468,Liste!$A$10:$W$59,17,FALSE),"")</f>
        <v>0</v>
      </c>
      <c r="D474" s="119"/>
      <c r="E474" s="125"/>
      <c r="F474" s="172"/>
      <c r="G474" s="168" t="s">
        <v>159</v>
      </c>
      <c r="H474" s="174" t="s">
        <v>160</v>
      </c>
      <c r="I474" s="84"/>
      <c r="J474" s="84"/>
      <c r="K474" s="84"/>
      <c r="L474" s="108"/>
      <c r="M474" s="83"/>
    </row>
    <row r="475" spans="1:13" x14ac:dyDescent="0.25">
      <c r="A475" s="192" t="str">
        <f>IF($A468&lt;&gt;0,"Lot " &amp; VLOOKUP($A468,Liste!$A$10:$W$59,18,FALSE),"")</f>
        <v xml:space="preserve">Lot </v>
      </c>
      <c r="B475" s="119">
        <f>IF($A468&lt;&gt;0,VLOOKUP($A468,Liste!$A$10:$W$59,19,FALSE),"")</f>
        <v>0</v>
      </c>
      <c r="C475" s="119">
        <f>IF($A468&lt;&gt;0,VLOOKUP($A468,Liste!$A$10:$W$59,19,FALSE),"")</f>
        <v>0</v>
      </c>
      <c r="F475" s="172"/>
      <c r="G475" s="169" t="s">
        <v>161</v>
      </c>
      <c r="H475" s="174" t="s">
        <v>160</v>
      </c>
      <c r="I475" s="167"/>
      <c r="J475" s="167"/>
      <c r="K475" s="167"/>
      <c r="L475" s="176"/>
      <c r="M475" s="83"/>
    </row>
    <row r="476" spans="1:13" ht="18" thickBot="1" x14ac:dyDescent="0.3">
      <c r="A476" s="193" t="str">
        <f>IF($A468&lt;&gt;0,"Lot " &amp; VLOOKUP($A468,Liste!$A$10:$W$59,21,FALSE),"")</f>
        <v xml:space="preserve">Lot </v>
      </c>
      <c r="B476" s="123">
        <f>IF($A468&lt;&gt;0,VLOOKUP($A468,Liste!$A$10:$W$59,22,FALSE),"")</f>
        <v>0</v>
      </c>
      <c r="C476" s="123">
        <f>IF($A468&lt;&gt;0,VLOOKUP($A468,Liste!$A$10:$W$59,23,FALSE),"")</f>
        <v>0</v>
      </c>
      <c r="D476" s="122"/>
      <c r="E476" s="122"/>
      <c r="F476" s="213"/>
      <c r="G476" s="212" t="str">
        <f>IF(OR(B469=0,VLOOKUP(A468,Liste!$A$10:'Liste'!$Z$59,26)&lt;&gt;""),"", "Voir autorisation messages électroniques")</f>
        <v/>
      </c>
      <c r="H476" s="212"/>
      <c r="I476" s="212"/>
      <c r="J476" s="122"/>
      <c r="K476" s="122"/>
      <c r="L476" s="128"/>
      <c r="M476" s="83"/>
    </row>
    <row r="477" spans="1:13" ht="18" customHeight="1" x14ac:dyDescent="0.25">
      <c r="A477" s="120">
        <f>A468+1</f>
        <v>50</v>
      </c>
      <c r="B477" s="204"/>
      <c r="C477" s="82"/>
      <c r="D477" s="82"/>
      <c r="E477" s="82"/>
      <c r="F477" s="183"/>
      <c r="G477" s="181" t="s">
        <v>162</v>
      </c>
      <c r="H477" s="166"/>
      <c r="I477" s="166"/>
      <c r="J477" s="166"/>
      <c r="K477" s="166"/>
      <c r="L477" s="175"/>
      <c r="M477" s="83"/>
    </row>
    <row r="478" spans="1:13" ht="18" thickBot="1" x14ac:dyDescent="0.35">
      <c r="A478" s="83">
        <f>IF($A477&lt;&gt;0,VLOOKUP($A477,Liste!$A$10:$W$59,3,FALSE),"")</f>
        <v>0</v>
      </c>
      <c r="B478" s="201">
        <f>IF($A477&lt;&gt;0,VLOOKUP($A477,Liste!$A$10:$W$59,4,FALSE),"")</f>
        <v>0</v>
      </c>
      <c r="E478" s="109" t="str">
        <f>IF($A477&lt;&gt;0,VLOOKUP($A477,Liste!$A$10:$W$59,8,FALSE),"")</f>
        <v/>
      </c>
      <c r="F478" s="184"/>
      <c r="G478" s="182" t="s">
        <v>158</v>
      </c>
      <c r="H478" s="106"/>
      <c r="I478" s="106"/>
      <c r="J478" s="106"/>
      <c r="K478" s="106"/>
      <c r="L478" s="26"/>
      <c r="M478" s="83"/>
    </row>
    <row r="479" spans="1:13" x14ac:dyDescent="0.25">
      <c r="A479" s="114">
        <f>IF($A477&lt;&gt;0,VLOOKUP($A477,Liste!$A$10:$W$59,5,FALSE),"")</f>
        <v>0</v>
      </c>
      <c r="B479" s="83"/>
      <c r="F479" s="170"/>
      <c r="G479" s="171" t="s">
        <v>163</v>
      </c>
      <c r="H479" s="171"/>
      <c r="I479" s="171"/>
      <c r="J479" s="171"/>
      <c r="K479" s="171"/>
      <c r="L479" s="127"/>
      <c r="M479" s="83"/>
    </row>
    <row r="480" spans="1:13" x14ac:dyDescent="0.25">
      <c r="A480" s="114">
        <f>IF($A477&lt;&gt;0,VLOOKUP($A477,Liste!$A$10:$W$59,6,FALSE),"")</f>
        <v>0</v>
      </c>
      <c r="B480" s="114">
        <f>IF($A477&lt;&gt;0,VLOOKUP($A477,Liste!$A$10:$W$59,7,FALSE),"")</f>
        <v>0</v>
      </c>
      <c r="F480" s="172"/>
      <c r="G480" s="82"/>
      <c r="H480" s="82"/>
      <c r="I480" s="82"/>
      <c r="J480" s="82"/>
      <c r="K480" s="82"/>
      <c r="L480" s="89"/>
      <c r="M480" s="83"/>
    </row>
    <row r="481" spans="1:13" x14ac:dyDescent="0.25">
      <c r="A481" s="115" t="str">
        <f xml:space="preserve"> IF($A477&lt;&gt;0, "Lot " &amp; VLOOKUP($A477,Liste!$A$10:$W$59,9,FALSE),"")</f>
        <v xml:space="preserve">Lot </v>
      </c>
      <c r="B481" s="202">
        <f>IF($A477&lt;&gt;0,VLOOKUP($A477,Liste!$A$10:$W$59,10,FALSE),"")</f>
        <v>0</v>
      </c>
      <c r="C481" s="110">
        <f>IF($A477&lt;&gt;0,VLOOKUP($A477,Liste!$A$10:$W$59,11,FALSE),"")</f>
        <v>0</v>
      </c>
      <c r="F481" s="172"/>
      <c r="G481" s="82"/>
      <c r="H481" s="82"/>
      <c r="I481" s="82"/>
      <c r="J481" s="82"/>
      <c r="K481" s="82"/>
      <c r="L481" s="89"/>
      <c r="M481" s="83"/>
    </row>
    <row r="482" spans="1:13" ht="13.8" thickBot="1" x14ac:dyDescent="0.3">
      <c r="A482" s="115" t="str">
        <f>IF($A477&lt;&gt;0,"Lot " &amp; VLOOKUP($A477,Liste!$A$10:$W$59,12,FALSE),"")</f>
        <v xml:space="preserve">Lot </v>
      </c>
      <c r="B482" s="202">
        <f>IF($A477&lt;&gt;0,VLOOKUP($A477,Liste!$A$10:$W$59,13,FALSE),"")</f>
        <v>0</v>
      </c>
      <c r="C482" s="110">
        <f>IF($A477&lt;&gt;0,VLOOKUP($A477,Liste!$A$10:$W$59,14,FALSE),"")</f>
        <v>0</v>
      </c>
      <c r="D482" s="111"/>
      <c r="E482" s="116"/>
      <c r="F482" s="173"/>
      <c r="G482" s="122"/>
      <c r="H482" s="122"/>
      <c r="I482" s="122"/>
      <c r="J482" s="122"/>
      <c r="K482" s="122"/>
      <c r="L482" s="128"/>
      <c r="M482" s="83"/>
    </row>
    <row r="483" spans="1:13" x14ac:dyDescent="0.25">
      <c r="A483" s="192" t="str">
        <f>IF($A477&lt;&gt;0,"Lot " &amp; VLOOKUP($A477,Liste!$A$10:$W$59,15,FALSE),"")</f>
        <v xml:space="preserve">Lot </v>
      </c>
      <c r="B483" s="202">
        <f>IF($A477&lt;&gt;0,VLOOKUP($A477,Liste!$A$10:$W$59,16,FALSE),"")</f>
        <v>0</v>
      </c>
      <c r="C483" s="119">
        <f>IF($A477&lt;&gt;0,VLOOKUP($A477,Liste!$A$10:$W$59,17,FALSE),"")</f>
        <v>0</v>
      </c>
      <c r="D483" s="119"/>
      <c r="E483" s="125"/>
      <c r="F483" s="172"/>
      <c r="G483" s="168" t="s">
        <v>159</v>
      </c>
      <c r="H483" s="174" t="s">
        <v>160</v>
      </c>
      <c r="I483" s="84"/>
      <c r="J483" s="84"/>
      <c r="K483" s="84"/>
      <c r="L483" s="108"/>
      <c r="M483" s="83"/>
    </row>
    <row r="484" spans="1:13" x14ac:dyDescent="0.25">
      <c r="A484" s="192" t="str">
        <f>IF($A477&lt;&gt;0,"Lot " &amp; VLOOKUP($A477,Liste!$A$10:$W$59,18,FALSE),"")</f>
        <v xml:space="preserve">Lot </v>
      </c>
      <c r="B484" s="202">
        <f>IF($A477&lt;&gt;0,VLOOKUP($A477,Liste!$A$10:$W$59,19,FALSE),"")</f>
        <v>0</v>
      </c>
      <c r="C484" s="119">
        <f>IF($A477&lt;&gt;0,VLOOKUP($A477,Liste!$A$10:$W$59,20,FALSE),"")</f>
        <v>0</v>
      </c>
      <c r="F484" s="172"/>
      <c r="G484" s="169" t="s">
        <v>161</v>
      </c>
      <c r="H484" s="174" t="s">
        <v>160</v>
      </c>
      <c r="I484" s="167"/>
      <c r="J484" s="167"/>
      <c r="K484" s="167"/>
      <c r="L484" s="176"/>
      <c r="M484" s="83"/>
    </row>
    <row r="485" spans="1:13" ht="18" thickBot="1" x14ac:dyDescent="0.3">
      <c r="A485" s="205" t="str">
        <f>IF($A477&lt;&gt;0,"Lot " &amp; VLOOKUP($A477,Liste!$A$10:$W$59,21,FALSE),"")</f>
        <v xml:space="preserve">Lot </v>
      </c>
      <c r="B485" s="209">
        <f>IF($A477&lt;&gt;0,VLOOKUP($A477,Liste!$A$10:$W$59,22,FALSE),"")</f>
        <v>0</v>
      </c>
      <c r="C485" s="206">
        <f>IF($A477&lt;&gt;0,VLOOKUP($A477,Liste!$A$10:$W$59,23,FALSE),"")</f>
        <v>0</v>
      </c>
      <c r="D485" s="84"/>
      <c r="E485" s="84"/>
      <c r="F485" s="213"/>
      <c r="G485" s="212" t="str">
        <f>IF(OR(B478=0,VLOOKUP(A477,Liste!$A$10:'Liste'!$Z$59,26)&lt;&gt;""),"", "Voir autorisation messages électroniques")</f>
        <v/>
      </c>
      <c r="H485" s="212"/>
      <c r="I485" s="212"/>
      <c r="J485" s="84"/>
      <c r="K485" s="84"/>
      <c r="L485" s="108"/>
      <c r="M485" s="83"/>
    </row>
  </sheetData>
  <mergeCells count="32">
    <mergeCell ref="G463:I463"/>
    <mergeCell ref="G145:I145"/>
    <mergeCell ref="G41:I41"/>
    <mergeCell ref="G14:I14"/>
    <mergeCell ref="G32:I32"/>
    <mergeCell ref="G59:I59"/>
    <mergeCell ref="G77:I77"/>
    <mergeCell ref="G91:I91"/>
    <mergeCell ref="G23:I23"/>
    <mergeCell ref="G50:I50"/>
    <mergeCell ref="G68:I68"/>
    <mergeCell ref="G100:I100"/>
    <mergeCell ref="G109:I109"/>
    <mergeCell ref="G118:I118"/>
    <mergeCell ref="G127:I127"/>
    <mergeCell ref="G136:I136"/>
    <mergeCell ref="G154:I154"/>
    <mergeCell ref="G177:I177"/>
    <mergeCell ref="G186:I186"/>
    <mergeCell ref="G195:I195"/>
    <mergeCell ref="G204:I204"/>
    <mergeCell ref="G281:I281"/>
    <mergeCell ref="G168:I168"/>
    <mergeCell ref="G367:I367"/>
    <mergeCell ref="G376:I376"/>
    <mergeCell ref="G272:I272"/>
    <mergeCell ref="G213:I213"/>
    <mergeCell ref="G222:I222"/>
    <mergeCell ref="G231:I231"/>
    <mergeCell ref="G245:I245"/>
    <mergeCell ref="G254:I254"/>
    <mergeCell ref="G263:I263"/>
  </mergeCells>
  <conditionalFormatting sqref="M4">
    <cfRule type="containsText" dxfId="215" priority="301" operator="containsText" text="ERREUR">
      <formula>NOT(ISERROR(SEARCH("ERREUR",M4)))</formula>
    </cfRule>
  </conditionalFormatting>
  <conditionalFormatting sqref="G32">
    <cfRule type="containsText" dxfId="214" priority="296" operator="containsText" text="Voir autorisation messages électriniques">
      <formula>NOT(ISERROR(SEARCH("Voir autorisation messages électriniques",G32)))</formula>
    </cfRule>
  </conditionalFormatting>
  <conditionalFormatting sqref="G32">
    <cfRule type="containsText" dxfId="213" priority="295" operator="containsText" text="Voir autorisation messages électroniques">
      <formula>NOT(ISERROR(SEARCH("Voir autorisation messages électroniques",G32)))</formula>
    </cfRule>
  </conditionalFormatting>
  <conditionalFormatting sqref="G367">
    <cfRule type="containsText" dxfId="212" priority="138" operator="containsText" text="Voir autorisation messages électriniques">
      <formula>NOT(ISERROR(SEARCH("Voir autorisation messages électriniques",G367)))</formula>
    </cfRule>
  </conditionalFormatting>
  <conditionalFormatting sqref="G367">
    <cfRule type="containsText" dxfId="211" priority="137" operator="containsText" text="Voir autorisation messages électroniques">
      <formula>NOT(ISERROR(SEARCH("Voir autorisation messages électroniques",G367)))</formula>
    </cfRule>
  </conditionalFormatting>
  <conditionalFormatting sqref="G376">
    <cfRule type="containsText" dxfId="210" priority="136" operator="containsText" text="Voir autorisation messages électriniques">
      <formula>NOT(ISERROR(SEARCH("Voir autorisation messages électriniques",G376)))</formula>
    </cfRule>
  </conditionalFormatting>
  <conditionalFormatting sqref="G376">
    <cfRule type="containsText" dxfId="209" priority="135" operator="containsText" text="Voir autorisation messages électroniques">
      <formula>NOT(ISERROR(SEARCH("Voir autorisation messages électroniques",G376)))</formula>
    </cfRule>
  </conditionalFormatting>
  <conditionalFormatting sqref="G463">
    <cfRule type="containsText" dxfId="208" priority="118" operator="containsText" text="Voir autorisation messages électriniques">
      <formula>NOT(ISERROR(SEARCH("Voir autorisation messages électriniques",G463)))</formula>
    </cfRule>
  </conditionalFormatting>
  <conditionalFormatting sqref="G463">
    <cfRule type="containsText" dxfId="207" priority="117" operator="containsText" text="Voir autorisation messages électroniques">
      <formula>NOT(ISERROR(SEARCH("Voir autorisation messages électroniques",G463)))</formula>
    </cfRule>
  </conditionalFormatting>
  <conditionalFormatting sqref="G290">
    <cfRule type="containsText" dxfId="206" priority="110" operator="containsText" text="Voir autorisation messages électriniques">
      <formula>NOT(ISERROR(SEARCH("Voir autorisation messages électriniques",G290)))</formula>
    </cfRule>
  </conditionalFormatting>
  <conditionalFormatting sqref="G290">
    <cfRule type="containsText" dxfId="205" priority="109" operator="containsText" text="Voir autorisation messages électroniques">
      <formula>NOT(ISERROR(SEARCH("Voir autorisation messages électroniques",G290)))</formula>
    </cfRule>
  </conditionalFormatting>
  <conditionalFormatting sqref="G14">
    <cfRule type="containsText" dxfId="204" priority="106" operator="containsText" text="Voir autorisation messages électriniques">
      <formula>NOT(ISERROR(SEARCH("Voir autorisation messages électriniques",G14)))</formula>
    </cfRule>
  </conditionalFormatting>
  <conditionalFormatting sqref="G14">
    <cfRule type="containsText" dxfId="203" priority="105" operator="containsText" text="Voir autorisation messages électroniques">
      <formula>NOT(ISERROR(SEARCH("Voir autorisation messages électroniques",G14)))</formula>
    </cfRule>
  </conditionalFormatting>
  <conditionalFormatting sqref="G23">
    <cfRule type="containsText" dxfId="202" priority="104" operator="containsText" text="Voir autorisation messages électriniques">
      <formula>NOT(ISERROR(SEARCH("Voir autorisation messages électriniques",G23)))</formula>
    </cfRule>
  </conditionalFormatting>
  <conditionalFormatting sqref="G23">
    <cfRule type="containsText" dxfId="201" priority="103" operator="containsText" text="Voir autorisation messages électroniques">
      <formula>NOT(ISERROR(SEARCH("Voir autorisation messages électroniques",G23)))</formula>
    </cfRule>
  </conditionalFormatting>
  <conditionalFormatting sqref="G41">
    <cfRule type="containsText" dxfId="200" priority="102" operator="containsText" text="Voir autorisation messages électriniques">
      <formula>NOT(ISERROR(SEARCH("Voir autorisation messages électriniques",G41)))</formula>
    </cfRule>
  </conditionalFormatting>
  <conditionalFormatting sqref="G41">
    <cfRule type="containsText" dxfId="199" priority="101" operator="containsText" text="Voir autorisation messages électroniques">
      <formula>NOT(ISERROR(SEARCH("Voir autorisation messages électroniques",G41)))</formula>
    </cfRule>
  </conditionalFormatting>
  <conditionalFormatting sqref="G50">
    <cfRule type="containsText" dxfId="198" priority="100" operator="containsText" text="Voir autorisation messages électriniques">
      <formula>NOT(ISERROR(SEARCH("Voir autorisation messages électriniques",G50)))</formula>
    </cfRule>
  </conditionalFormatting>
  <conditionalFormatting sqref="G50">
    <cfRule type="containsText" dxfId="197" priority="99" operator="containsText" text="Voir autorisation messages électroniques">
      <formula>NOT(ISERROR(SEARCH("Voir autorisation messages électroniques",G50)))</formula>
    </cfRule>
  </conditionalFormatting>
  <conditionalFormatting sqref="G59">
    <cfRule type="containsText" dxfId="196" priority="98" operator="containsText" text="Voir autorisation messages électriniques">
      <formula>NOT(ISERROR(SEARCH("Voir autorisation messages électriniques",G59)))</formula>
    </cfRule>
  </conditionalFormatting>
  <conditionalFormatting sqref="G59">
    <cfRule type="containsText" dxfId="195" priority="97" operator="containsText" text="Voir autorisation messages électroniques">
      <formula>NOT(ISERROR(SEARCH("Voir autorisation messages électroniques",G59)))</formula>
    </cfRule>
  </conditionalFormatting>
  <conditionalFormatting sqref="G68">
    <cfRule type="containsText" dxfId="194" priority="96" operator="containsText" text="Voir autorisation messages électriniques">
      <formula>NOT(ISERROR(SEARCH("Voir autorisation messages électriniques",G68)))</formula>
    </cfRule>
  </conditionalFormatting>
  <conditionalFormatting sqref="G68">
    <cfRule type="containsText" dxfId="193" priority="95" operator="containsText" text="Voir autorisation messages électroniques">
      <formula>NOT(ISERROR(SEARCH("Voir autorisation messages électroniques",G68)))</formula>
    </cfRule>
  </conditionalFormatting>
  <conditionalFormatting sqref="G77">
    <cfRule type="containsText" dxfId="192" priority="94" operator="containsText" text="Voir autorisation messages électriniques">
      <formula>NOT(ISERROR(SEARCH("Voir autorisation messages électriniques",G77)))</formula>
    </cfRule>
  </conditionalFormatting>
  <conditionalFormatting sqref="G77">
    <cfRule type="containsText" dxfId="191" priority="93" operator="containsText" text="Voir autorisation messages électroniques">
      <formula>NOT(ISERROR(SEARCH("Voir autorisation messages électroniques",G77)))</formula>
    </cfRule>
  </conditionalFormatting>
  <conditionalFormatting sqref="G91">
    <cfRule type="containsText" dxfId="190" priority="92" operator="containsText" text="Voir autorisation messages électriniques">
      <formula>NOT(ISERROR(SEARCH("Voir autorisation messages électriniques",G91)))</formula>
    </cfRule>
  </conditionalFormatting>
  <conditionalFormatting sqref="G91">
    <cfRule type="containsText" dxfId="189" priority="91" operator="containsText" text="Voir autorisation messages électroniques">
      <formula>NOT(ISERROR(SEARCH("Voir autorisation messages électroniques",G91)))</formula>
    </cfRule>
  </conditionalFormatting>
  <conditionalFormatting sqref="G100">
    <cfRule type="containsText" dxfId="188" priority="90" operator="containsText" text="Voir autorisation messages électriniques">
      <formula>NOT(ISERROR(SEARCH("Voir autorisation messages électriniques",G100)))</formula>
    </cfRule>
  </conditionalFormatting>
  <conditionalFormatting sqref="G100">
    <cfRule type="containsText" dxfId="187" priority="89" operator="containsText" text="Voir autorisation messages électroniques">
      <formula>NOT(ISERROR(SEARCH("Voir autorisation messages électroniques",G100)))</formula>
    </cfRule>
  </conditionalFormatting>
  <conditionalFormatting sqref="G109">
    <cfRule type="containsText" dxfId="186" priority="88" operator="containsText" text="Voir autorisation messages électriniques">
      <formula>NOT(ISERROR(SEARCH("Voir autorisation messages électriniques",G109)))</formula>
    </cfRule>
  </conditionalFormatting>
  <conditionalFormatting sqref="G109">
    <cfRule type="containsText" dxfId="185" priority="87" operator="containsText" text="Voir autorisation messages électroniques">
      <formula>NOT(ISERROR(SEARCH("Voir autorisation messages électroniques",G109)))</formula>
    </cfRule>
  </conditionalFormatting>
  <conditionalFormatting sqref="G118">
    <cfRule type="containsText" dxfId="184" priority="86" operator="containsText" text="Voir autorisation messages électriniques">
      <formula>NOT(ISERROR(SEARCH("Voir autorisation messages électriniques",G118)))</formula>
    </cfRule>
  </conditionalFormatting>
  <conditionalFormatting sqref="G118">
    <cfRule type="containsText" dxfId="183" priority="85" operator="containsText" text="Voir autorisation messages électroniques">
      <formula>NOT(ISERROR(SEARCH("Voir autorisation messages électroniques",G118)))</formula>
    </cfRule>
  </conditionalFormatting>
  <conditionalFormatting sqref="G127">
    <cfRule type="containsText" dxfId="182" priority="84" operator="containsText" text="Voir autorisation messages électriniques">
      <formula>NOT(ISERROR(SEARCH("Voir autorisation messages électriniques",G127)))</formula>
    </cfRule>
  </conditionalFormatting>
  <conditionalFormatting sqref="G127">
    <cfRule type="containsText" dxfId="181" priority="83" operator="containsText" text="Voir autorisation messages électroniques">
      <formula>NOT(ISERROR(SEARCH("Voir autorisation messages électroniques",G127)))</formula>
    </cfRule>
  </conditionalFormatting>
  <conditionalFormatting sqref="G136">
    <cfRule type="containsText" dxfId="180" priority="82" operator="containsText" text="Voir autorisation messages électriniques">
      <formula>NOT(ISERROR(SEARCH("Voir autorisation messages électriniques",G136)))</formula>
    </cfRule>
  </conditionalFormatting>
  <conditionalFormatting sqref="G136">
    <cfRule type="containsText" dxfId="179" priority="81" operator="containsText" text="Voir autorisation messages électroniques">
      <formula>NOT(ISERROR(SEARCH("Voir autorisation messages électroniques",G136)))</formula>
    </cfRule>
  </conditionalFormatting>
  <conditionalFormatting sqref="G145">
    <cfRule type="containsText" dxfId="178" priority="80" operator="containsText" text="Voir autorisation messages électriniques">
      <formula>NOT(ISERROR(SEARCH("Voir autorisation messages électriniques",G145)))</formula>
    </cfRule>
  </conditionalFormatting>
  <conditionalFormatting sqref="G145">
    <cfRule type="containsText" dxfId="177" priority="79" operator="containsText" text="Voir autorisation messages électroniques">
      <formula>NOT(ISERROR(SEARCH("Voir autorisation messages électroniques",G145)))</formula>
    </cfRule>
  </conditionalFormatting>
  <conditionalFormatting sqref="G154">
    <cfRule type="containsText" dxfId="176" priority="78" operator="containsText" text="Voir autorisation messages électriniques">
      <formula>NOT(ISERROR(SEARCH("Voir autorisation messages électriniques",G154)))</formula>
    </cfRule>
  </conditionalFormatting>
  <conditionalFormatting sqref="G154">
    <cfRule type="containsText" dxfId="175" priority="77" operator="containsText" text="Voir autorisation messages électroniques">
      <formula>NOT(ISERROR(SEARCH("Voir autorisation messages électroniques",G154)))</formula>
    </cfRule>
  </conditionalFormatting>
  <conditionalFormatting sqref="G168">
    <cfRule type="containsText" dxfId="174" priority="76" operator="containsText" text="Voir autorisation messages électriniques">
      <formula>NOT(ISERROR(SEARCH("Voir autorisation messages électriniques",G168)))</formula>
    </cfRule>
  </conditionalFormatting>
  <conditionalFormatting sqref="G168">
    <cfRule type="containsText" dxfId="173" priority="75" operator="containsText" text="Voir autorisation messages électroniques">
      <formula>NOT(ISERROR(SEARCH("Voir autorisation messages électroniques",G168)))</formula>
    </cfRule>
  </conditionalFormatting>
  <conditionalFormatting sqref="G177">
    <cfRule type="containsText" dxfId="172" priority="74" operator="containsText" text="Voir autorisation messages électriniques">
      <formula>NOT(ISERROR(SEARCH("Voir autorisation messages électriniques",G177)))</formula>
    </cfRule>
  </conditionalFormatting>
  <conditionalFormatting sqref="G177">
    <cfRule type="containsText" dxfId="171" priority="73" operator="containsText" text="Voir autorisation messages électroniques">
      <formula>NOT(ISERROR(SEARCH("Voir autorisation messages électroniques",G177)))</formula>
    </cfRule>
  </conditionalFormatting>
  <conditionalFormatting sqref="G186">
    <cfRule type="containsText" dxfId="170" priority="72" operator="containsText" text="Voir autorisation messages électriniques">
      <formula>NOT(ISERROR(SEARCH("Voir autorisation messages électriniques",G186)))</formula>
    </cfRule>
  </conditionalFormatting>
  <conditionalFormatting sqref="G186">
    <cfRule type="containsText" dxfId="169" priority="71" operator="containsText" text="Voir autorisation messages électroniques">
      <formula>NOT(ISERROR(SEARCH("Voir autorisation messages électroniques",G186)))</formula>
    </cfRule>
  </conditionalFormatting>
  <conditionalFormatting sqref="G195">
    <cfRule type="containsText" dxfId="168" priority="70" operator="containsText" text="Voir autorisation messages électriniques">
      <formula>NOT(ISERROR(SEARCH("Voir autorisation messages électriniques",G195)))</formula>
    </cfRule>
  </conditionalFormatting>
  <conditionalFormatting sqref="G195">
    <cfRule type="containsText" dxfId="167" priority="69" operator="containsText" text="Voir autorisation messages électroniques">
      <formula>NOT(ISERROR(SEARCH("Voir autorisation messages électroniques",G195)))</formula>
    </cfRule>
  </conditionalFormatting>
  <conditionalFormatting sqref="G204">
    <cfRule type="containsText" dxfId="166" priority="68" operator="containsText" text="Voir autorisation messages électriniques">
      <formula>NOT(ISERROR(SEARCH("Voir autorisation messages électriniques",G204)))</formula>
    </cfRule>
  </conditionalFormatting>
  <conditionalFormatting sqref="G204">
    <cfRule type="containsText" dxfId="165" priority="67" operator="containsText" text="Voir autorisation messages électroniques">
      <formula>NOT(ISERROR(SEARCH("Voir autorisation messages électroniques",G204)))</formula>
    </cfRule>
  </conditionalFormatting>
  <conditionalFormatting sqref="G213">
    <cfRule type="containsText" dxfId="164" priority="66" operator="containsText" text="Voir autorisation messages électriniques">
      <formula>NOT(ISERROR(SEARCH("Voir autorisation messages électriniques",G213)))</formula>
    </cfRule>
  </conditionalFormatting>
  <conditionalFormatting sqref="G213">
    <cfRule type="containsText" dxfId="163" priority="65" operator="containsText" text="Voir autorisation messages électroniques">
      <formula>NOT(ISERROR(SEARCH("Voir autorisation messages électroniques",G213)))</formula>
    </cfRule>
  </conditionalFormatting>
  <conditionalFormatting sqref="G222">
    <cfRule type="containsText" dxfId="162" priority="64" operator="containsText" text="Voir autorisation messages électriniques">
      <formula>NOT(ISERROR(SEARCH("Voir autorisation messages électriniques",G222)))</formula>
    </cfRule>
  </conditionalFormatting>
  <conditionalFormatting sqref="G222">
    <cfRule type="containsText" dxfId="161" priority="63" operator="containsText" text="Voir autorisation messages électroniques">
      <formula>NOT(ISERROR(SEARCH("Voir autorisation messages électroniques",G222)))</formula>
    </cfRule>
  </conditionalFormatting>
  <conditionalFormatting sqref="G231">
    <cfRule type="containsText" dxfId="160" priority="62" operator="containsText" text="Voir autorisation messages électriniques">
      <formula>NOT(ISERROR(SEARCH("Voir autorisation messages électriniques",G231)))</formula>
    </cfRule>
  </conditionalFormatting>
  <conditionalFormatting sqref="G231">
    <cfRule type="containsText" dxfId="159" priority="61" operator="containsText" text="Voir autorisation messages électroniques">
      <formula>NOT(ISERROR(SEARCH("Voir autorisation messages électroniques",G231)))</formula>
    </cfRule>
  </conditionalFormatting>
  <conditionalFormatting sqref="G245">
    <cfRule type="containsText" dxfId="158" priority="60" operator="containsText" text="Voir autorisation messages électriniques">
      <formula>NOT(ISERROR(SEARCH("Voir autorisation messages électriniques",G245)))</formula>
    </cfRule>
  </conditionalFormatting>
  <conditionalFormatting sqref="G245">
    <cfRule type="containsText" dxfId="157" priority="59" operator="containsText" text="Voir autorisation messages électroniques">
      <formula>NOT(ISERROR(SEARCH("Voir autorisation messages électroniques",G245)))</formula>
    </cfRule>
  </conditionalFormatting>
  <conditionalFormatting sqref="G254">
    <cfRule type="containsText" dxfId="156" priority="58" operator="containsText" text="Voir autorisation messages électriniques">
      <formula>NOT(ISERROR(SEARCH("Voir autorisation messages électriniques",G254)))</formula>
    </cfRule>
  </conditionalFormatting>
  <conditionalFormatting sqref="G254">
    <cfRule type="containsText" dxfId="155" priority="57" operator="containsText" text="Voir autorisation messages électroniques">
      <formula>NOT(ISERROR(SEARCH("Voir autorisation messages électroniques",G254)))</formula>
    </cfRule>
  </conditionalFormatting>
  <conditionalFormatting sqref="G263">
    <cfRule type="containsText" dxfId="154" priority="56" operator="containsText" text="Voir autorisation messages électriniques">
      <formula>NOT(ISERROR(SEARCH("Voir autorisation messages électriniques",G263)))</formula>
    </cfRule>
  </conditionalFormatting>
  <conditionalFormatting sqref="G263">
    <cfRule type="containsText" dxfId="153" priority="55" operator="containsText" text="Voir autorisation messages électroniques">
      <formula>NOT(ISERROR(SEARCH("Voir autorisation messages électroniques",G263)))</formula>
    </cfRule>
  </conditionalFormatting>
  <conditionalFormatting sqref="G272">
    <cfRule type="containsText" dxfId="152" priority="54" operator="containsText" text="Voir autorisation messages électriniques">
      <formula>NOT(ISERROR(SEARCH("Voir autorisation messages électriniques",G272)))</formula>
    </cfRule>
  </conditionalFormatting>
  <conditionalFormatting sqref="G272">
    <cfRule type="containsText" dxfId="151" priority="53" operator="containsText" text="Voir autorisation messages électroniques">
      <formula>NOT(ISERROR(SEARCH("Voir autorisation messages électroniques",G272)))</formula>
    </cfRule>
  </conditionalFormatting>
  <conditionalFormatting sqref="G281">
    <cfRule type="containsText" dxfId="150" priority="52" operator="containsText" text="Voir autorisation messages électriniques">
      <formula>NOT(ISERROR(SEARCH("Voir autorisation messages électriniques",G281)))</formula>
    </cfRule>
  </conditionalFormatting>
  <conditionalFormatting sqref="G281">
    <cfRule type="containsText" dxfId="149" priority="51" operator="containsText" text="Voir autorisation messages électroniques">
      <formula>NOT(ISERROR(SEARCH("Voir autorisation messages électroniques",G281)))</formula>
    </cfRule>
  </conditionalFormatting>
  <conditionalFormatting sqref="G299">
    <cfRule type="containsText" dxfId="148" priority="50" operator="containsText" text="Voir autorisation messages électriniques">
      <formula>NOT(ISERROR(SEARCH("Voir autorisation messages électriniques",G299)))</formula>
    </cfRule>
  </conditionalFormatting>
  <conditionalFormatting sqref="G299">
    <cfRule type="containsText" dxfId="147" priority="49" operator="containsText" text="Voir autorisation messages électroniques">
      <formula>NOT(ISERROR(SEARCH("Voir autorisation messages électroniques",G299)))</formula>
    </cfRule>
  </conditionalFormatting>
  <conditionalFormatting sqref="G308">
    <cfRule type="containsText" dxfId="146" priority="48" operator="containsText" text="Voir autorisation messages électriniques">
      <formula>NOT(ISERROR(SEARCH("Voir autorisation messages électriniques",G308)))</formula>
    </cfRule>
  </conditionalFormatting>
  <conditionalFormatting sqref="G308">
    <cfRule type="containsText" dxfId="145" priority="47" operator="containsText" text="Voir autorisation messages électroniques">
      <formula>NOT(ISERROR(SEARCH("Voir autorisation messages électroniques",G308)))</formula>
    </cfRule>
  </conditionalFormatting>
  <conditionalFormatting sqref="G322">
    <cfRule type="containsText" dxfId="144" priority="46" operator="containsText" text="Voir autorisation messages électriniques">
      <formula>NOT(ISERROR(SEARCH("Voir autorisation messages électriniques",G322)))</formula>
    </cfRule>
  </conditionalFormatting>
  <conditionalFormatting sqref="G322">
    <cfRule type="containsText" dxfId="143" priority="45" operator="containsText" text="Voir autorisation messages électroniques">
      <formula>NOT(ISERROR(SEARCH("Voir autorisation messages électroniques",G322)))</formula>
    </cfRule>
  </conditionalFormatting>
  <conditionalFormatting sqref="G331">
    <cfRule type="containsText" dxfId="142" priority="44" operator="containsText" text="Voir autorisation messages électriniques">
      <formula>NOT(ISERROR(SEARCH("Voir autorisation messages électriniques",G331)))</formula>
    </cfRule>
  </conditionalFormatting>
  <conditionalFormatting sqref="G331">
    <cfRule type="containsText" dxfId="141" priority="43" operator="containsText" text="Voir autorisation messages électroniques">
      <formula>NOT(ISERROR(SEARCH("Voir autorisation messages électroniques",G331)))</formula>
    </cfRule>
  </conditionalFormatting>
  <conditionalFormatting sqref="G340">
    <cfRule type="containsText" dxfId="140" priority="42" operator="containsText" text="Voir autorisation messages électriniques">
      <formula>NOT(ISERROR(SEARCH("Voir autorisation messages électriniques",G340)))</formula>
    </cfRule>
  </conditionalFormatting>
  <conditionalFormatting sqref="G340">
    <cfRule type="containsText" dxfId="139" priority="41" operator="containsText" text="Voir autorisation messages électroniques">
      <formula>NOT(ISERROR(SEARCH("Voir autorisation messages électroniques",G340)))</formula>
    </cfRule>
  </conditionalFormatting>
  <conditionalFormatting sqref="G349">
    <cfRule type="containsText" dxfId="138" priority="40" operator="containsText" text="Voir autorisation messages électriniques">
      <formula>NOT(ISERROR(SEARCH("Voir autorisation messages électriniques",G349)))</formula>
    </cfRule>
  </conditionalFormatting>
  <conditionalFormatting sqref="G349">
    <cfRule type="containsText" dxfId="137" priority="39" operator="containsText" text="Voir autorisation messages électroniques">
      <formula>NOT(ISERROR(SEARCH("Voir autorisation messages électroniques",G349)))</formula>
    </cfRule>
  </conditionalFormatting>
  <conditionalFormatting sqref="G358">
    <cfRule type="containsText" dxfId="136" priority="38" operator="containsText" text="Voir autorisation messages électriniques">
      <formula>NOT(ISERROR(SEARCH("Voir autorisation messages électriniques",G358)))</formula>
    </cfRule>
  </conditionalFormatting>
  <conditionalFormatting sqref="G358">
    <cfRule type="containsText" dxfId="135" priority="37" operator="containsText" text="Voir autorisation messages électroniques">
      <formula>NOT(ISERROR(SEARCH("Voir autorisation messages électroniques",G358)))</formula>
    </cfRule>
  </conditionalFormatting>
  <conditionalFormatting sqref="G385">
    <cfRule type="containsText" dxfId="134" priority="22" operator="containsText" text="Voir autorisation messages électriniques">
      <formula>NOT(ISERROR(SEARCH("Voir autorisation messages électriniques",G385)))</formula>
    </cfRule>
  </conditionalFormatting>
  <conditionalFormatting sqref="G385">
    <cfRule type="containsText" dxfId="133" priority="21" operator="containsText" text="Voir autorisation messages électroniques">
      <formula>NOT(ISERROR(SEARCH("Voir autorisation messages électroniques",G385)))</formula>
    </cfRule>
  </conditionalFormatting>
  <conditionalFormatting sqref="G399">
    <cfRule type="containsText" dxfId="132" priority="20" operator="containsText" text="Voir autorisation messages électriniques">
      <formula>NOT(ISERROR(SEARCH("Voir autorisation messages électriniques",G399)))</formula>
    </cfRule>
  </conditionalFormatting>
  <conditionalFormatting sqref="G399">
    <cfRule type="containsText" dxfId="131" priority="19" operator="containsText" text="Voir autorisation messages électroniques">
      <formula>NOT(ISERROR(SEARCH("Voir autorisation messages électroniques",G399)))</formula>
    </cfRule>
  </conditionalFormatting>
  <conditionalFormatting sqref="G408">
    <cfRule type="containsText" dxfId="130" priority="18" operator="containsText" text="Voir autorisation messages électriniques">
      <formula>NOT(ISERROR(SEARCH("Voir autorisation messages électriniques",G408)))</formula>
    </cfRule>
  </conditionalFormatting>
  <conditionalFormatting sqref="G408">
    <cfRule type="containsText" dxfId="129" priority="17" operator="containsText" text="Voir autorisation messages électroniques">
      <formula>NOT(ISERROR(SEARCH("Voir autorisation messages électroniques",G408)))</formula>
    </cfRule>
  </conditionalFormatting>
  <conditionalFormatting sqref="G417">
    <cfRule type="containsText" dxfId="128" priority="16" operator="containsText" text="Voir autorisation messages électriniques">
      <formula>NOT(ISERROR(SEARCH("Voir autorisation messages électriniques",G417)))</formula>
    </cfRule>
  </conditionalFormatting>
  <conditionalFormatting sqref="G417">
    <cfRule type="containsText" dxfId="127" priority="15" operator="containsText" text="Voir autorisation messages électroniques">
      <formula>NOT(ISERROR(SEARCH("Voir autorisation messages électroniques",G417)))</formula>
    </cfRule>
  </conditionalFormatting>
  <conditionalFormatting sqref="G426">
    <cfRule type="containsText" dxfId="126" priority="14" operator="containsText" text="Voir autorisation messages électriniques">
      <formula>NOT(ISERROR(SEARCH("Voir autorisation messages électriniques",G426)))</formula>
    </cfRule>
  </conditionalFormatting>
  <conditionalFormatting sqref="G426">
    <cfRule type="containsText" dxfId="125" priority="13" operator="containsText" text="Voir autorisation messages électroniques">
      <formula>NOT(ISERROR(SEARCH("Voir autorisation messages électroniques",G426)))</formula>
    </cfRule>
  </conditionalFormatting>
  <conditionalFormatting sqref="G435">
    <cfRule type="containsText" dxfId="124" priority="12" operator="containsText" text="Voir autorisation messages électriniques">
      <formula>NOT(ISERROR(SEARCH("Voir autorisation messages électriniques",G435)))</formula>
    </cfRule>
  </conditionalFormatting>
  <conditionalFormatting sqref="G435">
    <cfRule type="containsText" dxfId="123" priority="11" operator="containsText" text="Voir autorisation messages électroniques">
      <formula>NOT(ISERROR(SEARCH("Voir autorisation messages électroniques",G435)))</formula>
    </cfRule>
  </conditionalFormatting>
  <conditionalFormatting sqref="G444">
    <cfRule type="containsText" dxfId="122" priority="10" operator="containsText" text="Voir autorisation messages électriniques">
      <formula>NOT(ISERROR(SEARCH("Voir autorisation messages électriniques",G444)))</formula>
    </cfRule>
  </conditionalFormatting>
  <conditionalFormatting sqref="G444">
    <cfRule type="containsText" dxfId="121" priority="9" operator="containsText" text="Voir autorisation messages électroniques">
      <formula>NOT(ISERROR(SEARCH("Voir autorisation messages électroniques",G444)))</formula>
    </cfRule>
  </conditionalFormatting>
  <conditionalFormatting sqref="G453">
    <cfRule type="containsText" dxfId="120" priority="8" operator="containsText" text="Voir autorisation messages électriniques">
      <formula>NOT(ISERROR(SEARCH("Voir autorisation messages électriniques",G453)))</formula>
    </cfRule>
  </conditionalFormatting>
  <conditionalFormatting sqref="G453">
    <cfRule type="containsText" dxfId="119" priority="7" operator="containsText" text="Voir autorisation messages électroniques">
      <formula>NOT(ISERROR(SEARCH("Voir autorisation messages électroniques",G453)))</formula>
    </cfRule>
  </conditionalFormatting>
  <conditionalFormatting sqref="G462">
    <cfRule type="containsText" dxfId="118" priority="6" operator="containsText" text="Voir autorisation messages électriniques">
      <formula>NOT(ISERROR(SEARCH("Voir autorisation messages électriniques",G462)))</formula>
    </cfRule>
  </conditionalFormatting>
  <conditionalFormatting sqref="G462">
    <cfRule type="containsText" dxfId="117" priority="5" operator="containsText" text="Voir autorisation messages électroniques">
      <formula>NOT(ISERROR(SEARCH("Voir autorisation messages électroniques",G462)))</formula>
    </cfRule>
  </conditionalFormatting>
  <conditionalFormatting sqref="G476">
    <cfRule type="containsText" dxfId="116" priority="4" operator="containsText" text="Voir autorisation messages électriniques">
      <formula>NOT(ISERROR(SEARCH("Voir autorisation messages électriniques",G476)))</formula>
    </cfRule>
  </conditionalFormatting>
  <conditionalFormatting sqref="G476">
    <cfRule type="containsText" dxfId="115" priority="3" operator="containsText" text="Voir autorisation messages électroniques">
      <formula>NOT(ISERROR(SEARCH("Voir autorisation messages électroniques",G476)))</formula>
    </cfRule>
  </conditionalFormatting>
  <conditionalFormatting sqref="G485">
    <cfRule type="containsText" dxfId="114" priority="2" operator="containsText" text="Voir autorisation messages électriniques">
      <formula>NOT(ISERROR(SEARCH("Voir autorisation messages électriniques",G485)))</formula>
    </cfRule>
  </conditionalFormatting>
  <conditionalFormatting sqref="G485">
    <cfRule type="containsText" dxfId="113" priority="1" operator="containsText" text="Voir autorisation messages électroniques">
      <formula>NOT(ISERROR(SEARCH("Voir autorisation messages électroniques",G485)))</formula>
    </cfRule>
  </conditionalFormatting>
  <dataValidations count="2">
    <dataValidation type="custom" allowBlank="1" showInputMessage="1" showErrorMessage="1" sqref="O4 J4:M4 E469:E485 C469:C485 E6:E82 C6:C82 C84:C236 C315:C467 C238:C313 E84:E313 E315:E466 G281:I281 G290:I290 G14:I14 G23:I23 G41:I41 G50:I50 G59:I59 G68:I68 G77:I77 G91:I91 G100:I100 G109:I109 G118:I118 G127:I127 G136:I136 G145:I145 G154:I154 G168:I168 G177:I177 G186:I186 G195:I195 G204:I204 G213:I213 G222:I222 G231:I231 G245:I245 G254:I254 G263:I263 G272:I272 G299:I299 G308:I308 G322:I322 G331:I331 G340:I340 G349:I349 G358:I358 G399:I399 G385:I385 G426:I426 G408:I408 G417:I417 G435:I435 G444:I444 G453:I453 G462:I462 G476:I476 G485:I485">
      <formula1>"&gt;=1"</formula1>
    </dataValidation>
    <dataValidation type="custom" allowBlank="1" showInputMessage="1" showErrorMessage="1" sqref="F281 F290 F14 F23 F41 F50 F59 F68 F77 F91 F100 F109 F118 F127 F136 F145 F154 F168 F177 F186 F195 F204 F213 F222 F231 F245 F254 F263 F272 F299 F308 F322 F331 F340 F349 F358 F399 F385 F426 F408 F417 F435 F444 F453 F462 F476 F485">
      <formula1>"X"</formula1>
    </dataValidation>
  </dataValidations>
  <pageMargins left="0.25" right="0.25" top="0.75" bottom="0.75" header="0.3" footer="0.3"/>
  <pageSetup paperSize="9" scale="69" orientation="portrait" horizontalDpi="4294967293" verticalDpi="0" r:id="rId1"/>
  <rowBreaks count="6" manualBreakCount="6">
    <brk id="77" max="16383" man="1"/>
    <brk id="154" max="16383" man="1"/>
    <brk id="231" max="16383" man="1"/>
    <brk id="308" max="16383" man="1"/>
    <brk id="385" max="16383" man="1"/>
    <brk id="462" max="1638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9"/>
  </sheetPr>
  <dimension ref="A1:AS95"/>
  <sheetViews>
    <sheetView showZeros="0" tabSelected="1" zoomScale="110" zoomScaleNormal="110" workbookViewId="0">
      <pane xSplit="2" ySplit="13" topLeftCell="K22" activePane="bottomRight" state="frozenSplit"/>
      <selection pane="topRight" activeCell="C1" sqref="C1"/>
      <selection pane="bottomLeft" activeCell="A14" sqref="A14"/>
      <selection pane="bottomRight" activeCell="B23" sqref="B23"/>
    </sheetView>
  </sheetViews>
  <sheetFormatPr baseColWidth="10" defaultRowHeight="13.2" x14ac:dyDescent="0.25"/>
  <cols>
    <col min="2" max="2" width="20.44140625" customWidth="1"/>
    <col min="3" max="10" width="11.5546875" style="55" customWidth="1"/>
    <col min="14" max="14" width="12.5546875" customWidth="1"/>
    <col min="20" max="20" width="7.5546875" customWidth="1"/>
    <col min="21" max="22" width="7.88671875" customWidth="1"/>
    <col min="23" max="23" width="8" customWidth="1"/>
    <col min="24" max="24" width="8.109375" customWidth="1"/>
    <col min="25" max="25" width="8" customWidth="1"/>
    <col min="26" max="26" width="7.33203125" customWidth="1"/>
    <col min="27" max="27" width="8" customWidth="1"/>
    <col min="28" max="28" width="6.33203125" customWidth="1"/>
    <col min="29" max="29" width="13" customWidth="1"/>
    <col min="32" max="32" width="9.77734375" customWidth="1"/>
    <col min="36" max="36" width="13.5546875" customWidth="1"/>
    <col min="37" max="37" width="14" customWidth="1"/>
  </cols>
  <sheetData>
    <row r="1" spans="1:45" ht="15.6" thickBot="1" x14ac:dyDescent="0.3">
      <c r="A1" s="145">
        <f>Liste!C1</f>
        <v>44084</v>
      </c>
      <c r="B1" s="129"/>
      <c r="C1" s="141" t="str">
        <f xml:space="preserve"> AI10&amp;AJ10</f>
        <v/>
      </c>
      <c r="K1" s="141" t="str">
        <f xml:space="preserve"> $AI$10&amp;$AJ$10</f>
        <v/>
      </c>
      <c r="L1" s="55"/>
      <c r="M1" s="55"/>
      <c r="Q1">
        <v>1</v>
      </c>
      <c r="R1">
        <v>2</v>
      </c>
      <c r="S1">
        <v>3</v>
      </c>
      <c r="T1">
        <v>4</v>
      </c>
      <c r="AC1" s="42" t="s">
        <v>185</v>
      </c>
      <c r="AD1" s="42">
        <v>25</v>
      </c>
      <c r="AE1" s="42">
        <v>25.1</v>
      </c>
      <c r="AF1" s="147">
        <v>26</v>
      </c>
      <c r="AG1" s="42">
        <v>26.1</v>
      </c>
      <c r="AJ1" s="91"/>
      <c r="AL1">
        <v>901</v>
      </c>
      <c r="AM1" s="126">
        <f>IF(N3-E10=0,0,1)</f>
        <v>1</v>
      </c>
    </row>
    <row r="2" spans="1:45" ht="26.4" x14ac:dyDescent="0.25">
      <c r="A2" s="8"/>
      <c r="B2" s="11"/>
      <c r="C2" s="47" t="s">
        <v>3</v>
      </c>
      <c r="D2" s="48" t="s">
        <v>4</v>
      </c>
      <c r="E2" s="49" t="s">
        <v>5</v>
      </c>
      <c r="F2" s="50" t="s">
        <v>8</v>
      </c>
      <c r="G2" s="56" t="s">
        <v>11</v>
      </c>
      <c r="H2" s="56" t="s">
        <v>26</v>
      </c>
      <c r="I2" s="57" t="s">
        <v>12</v>
      </c>
      <c r="J2" s="52" t="s">
        <v>7</v>
      </c>
      <c r="K2" s="47" t="s">
        <v>3</v>
      </c>
      <c r="L2" s="48" t="s">
        <v>4</v>
      </c>
      <c r="M2" s="160" t="s">
        <v>5</v>
      </c>
      <c r="N2" s="155" t="s">
        <v>157</v>
      </c>
      <c r="O2" s="6">
        <f>COUNT(H14:H63)</f>
        <v>8</v>
      </c>
      <c r="P2" s="7"/>
      <c r="Q2" s="135" t="s">
        <v>17</v>
      </c>
      <c r="R2" s="136" t="s">
        <v>14</v>
      </c>
      <c r="S2" s="136" t="s">
        <v>14</v>
      </c>
      <c r="T2" s="137" t="s">
        <v>14</v>
      </c>
      <c r="U2" s="137" t="s">
        <v>14</v>
      </c>
      <c r="V2" s="137" t="s">
        <v>14</v>
      </c>
      <c r="W2" s="137" t="s">
        <v>14</v>
      </c>
      <c r="X2" s="137" t="s">
        <v>14</v>
      </c>
      <c r="Y2" s="137" t="s">
        <v>14</v>
      </c>
      <c r="Z2" s="137" t="s">
        <v>14</v>
      </c>
      <c r="AA2" s="137" t="s">
        <v>14</v>
      </c>
      <c r="AC2" s="2">
        <f>240*(A2=24)*(L3&gt;K3)+241*(A2=24)*(K3&gt;L3)</f>
        <v>0</v>
      </c>
      <c r="AD2" s="2">
        <f>250*(A2=25)*(K3&lt;L3)+252*(A2=25)*(K3&gt;=AI7)</f>
        <v>0</v>
      </c>
      <c r="AE2" s="2">
        <f>250*(A2=25.1)*(L3&lt;K3)+2*(A2=25.1)*(K3&gt;L3)+250*(A2=25.1)*(K3&lt;L3)</f>
        <v>0</v>
      </c>
      <c r="AF2" s="2">
        <f>260*(A2=26)*((K3&lt;AJ7)*(K7&lt;AJ8)*(K3&lt;=AK7))+(262*(A2=26)*((K3&gt;=AJ7)*+(K7&gt;=AJ8)))+1*(A2=26)*(K7&gt;=AJ8)*(K3&gt;=AK7)</f>
        <v>0</v>
      </c>
      <c r="AG2" s="2">
        <f>262*(A2=26.1)*(K3&gt;=AI7)+260*(A2=26.1)*(K3&lt;AI7)</f>
        <v>0</v>
      </c>
      <c r="AH2" s="2"/>
      <c r="AI2" s="130"/>
      <c r="AJ2" s="2">
        <f>SUM(AC2:AI2)</f>
        <v>0</v>
      </c>
      <c r="AK2" s="45"/>
      <c r="AL2" s="43">
        <v>2</v>
      </c>
      <c r="AN2" s="1">
        <v>240</v>
      </c>
      <c r="AO2" s="1" t="str">
        <f>IF($AJ$2=240,CONCATENATE("Résolution REFUSEE par ",D3, " voix CONTRE et ",C3," voix POUR."),"")</f>
        <v/>
      </c>
      <c r="AP2" s="1"/>
      <c r="AQ2" s="1"/>
      <c r="AR2" s="1"/>
      <c r="AS2" s="1"/>
    </row>
    <row r="3" spans="1:45" x14ac:dyDescent="0.25">
      <c r="B3" s="12"/>
      <c r="C3" s="58">
        <f>SUM($C$14:$C$63)</f>
        <v>0</v>
      </c>
      <c r="D3" s="59">
        <f>SUM($D$14:$D$63)</f>
        <v>0</v>
      </c>
      <c r="E3" s="59">
        <f>SUM($E$14:$E63)</f>
        <v>0</v>
      </c>
      <c r="F3" s="60">
        <f>SUM($F$14:$F$63)</f>
        <v>8540</v>
      </c>
      <c r="G3" s="61">
        <f>E11</f>
        <v>21</v>
      </c>
      <c r="H3" s="62"/>
      <c r="I3" s="63">
        <f>SUM($I$14:$I$63)</f>
        <v>21</v>
      </c>
      <c r="J3" s="63">
        <f>SUM($J$14:$J$63)</f>
        <v>8540</v>
      </c>
      <c r="K3" s="58">
        <f>SUM($C$14:$C$63)</f>
        <v>0</v>
      </c>
      <c r="L3" s="59">
        <f>SUM($D$14:$D$63)</f>
        <v>0</v>
      </c>
      <c r="M3" s="161">
        <f>SUM($E$14:$E63)</f>
        <v>0</v>
      </c>
      <c r="N3" s="32">
        <f>K3+L3+M3</f>
        <v>0</v>
      </c>
      <c r="O3" s="218" t="str">
        <f>IF(AND($N$3&gt;0,N3&lt;&gt;E10),"EN ATTEBTE","")</f>
        <v/>
      </c>
      <c r="Q3" s="18">
        <f t="shared" ref="Q3:AA3" si="0">SUM(Q14:Q63)</f>
        <v>10000</v>
      </c>
      <c r="R3" s="18">
        <f t="shared" si="0"/>
        <v>1000</v>
      </c>
      <c r="S3" s="18">
        <f t="shared" si="0"/>
        <v>0</v>
      </c>
      <c r="T3" s="18">
        <f t="shared" si="0"/>
        <v>0</v>
      </c>
      <c r="U3" s="18">
        <f t="shared" si="0"/>
        <v>0</v>
      </c>
      <c r="V3" s="18">
        <f t="shared" si="0"/>
        <v>0</v>
      </c>
      <c r="W3" s="18">
        <f t="shared" si="0"/>
        <v>0</v>
      </c>
      <c r="X3" s="18">
        <f t="shared" si="0"/>
        <v>0</v>
      </c>
      <c r="Y3" s="18">
        <f t="shared" si="0"/>
        <v>0</v>
      </c>
      <c r="Z3" s="18">
        <f t="shared" si="0"/>
        <v>0</v>
      </c>
      <c r="AA3" s="18">
        <f t="shared" si="0"/>
        <v>0</v>
      </c>
      <c r="AH3" s="53">
        <f>(AJ2=241)+(AJ2=252)+(AJ2=262)+(AJ2=267)+(AJ2=269)+((AJ2=240)+(AJ2=250)+(AJ2=251)+(AJ2=260)+(AJ2=265)+(AJ2=266)+(AJ2=268))*2</f>
        <v>0</v>
      </c>
      <c r="AI3" s="46"/>
      <c r="AJ3" s="44"/>
      <c r="AK3" s="44"/>
      <c r="AL3" s="45"/>
      <c r="AN3" s="1">
        <v>241</v>
      </c>
      <c r="AO3" s="1" t="str">
        <f>IF($AJ$2=241,CONCATENATE("Résolution ADOPTEE par ",C3," voix POUR et ",D3," voix CONTRE."),"")</f>
        <v/>
      </c>
      <c r="AP3" s="1"/>
      <c r="AQ3" s="1"/>
      <c r="AR3" s="1"/>
      <c r="AS3" s="1"/>
    </row>
    <row r="4" spans="1:45" x14ac:dyDescent="0.25">
      <c r="A4" s="22"/>
      <c r="B4" s="13">
        <v>1</v>
      </c>
      <c r="C4" s="64"/>
      <c r="Q4" s="25">
        <f t="shared" ref="Q4:AA4" si="1">COUNTIF(Q14:Q63,"&gt;0")</f>
        <v>25</v>
      </c>
      <c r="R4" s="25">
        <f t="shared" si="1"/>
        <v>20</v>
      </c>
      <c r="S4" s="25">
        <f t="shared" si="1"/>
        <v>0</v>
      </c>
      <c r="T4" s="25">
        <f t="shared" si="1"/>
        <v>0</v>
      </c>
      <c r="U4" s="25">
        <f t="shared" si="1"/>
        <v>0</v>
      </c>
      <c r="V4" s="25">
        <f t="shared" si="1"/>
        <v>0</v>
      </c>
      <c r="W4" s="25">
        <f t="shared" si="1"/>
        <v>0</v>
      </c>
      <c r="X4" s="25">
        <f t="shared" si="1"/>
        <v>0</v>
      </c>
      <c r="Y4" s="25">
        <f t="shared" si="1"/>
        <v>0</v>
      </c>
      <c r="Z4" s="25">
        <f t="shared" si="1"/>
        <v>0</v>
      </c>
      <c r="AA4" s="25">
        <f t="shared" si="1"/>
        <v>0</v>
      </c>
      <c r="AN4" s="1">
        <v>250</v>
      </c>
      <c r="AO4" s="1" t="b">
        <f>IF($AJ$2=250,CONCATENATE("Résolution REFUSEE,Pas de possibilité de 2e vote",""))</f>
        <v>0</v>
      </c>
      <c r="AP4" s="1"/>
      <c r="AQ4" s="1"/>
      <c r="AR4" s="1"/>
      <c r="AS4" s="1"/>
    </row>
    <row r="5" spans="1:45" ht="13.8" thickBot="1" x14ac:dyDescent="0.3">
      <c r="C5" s="65" t="e">
        <f>VLOOKUP($AJ$2,$AN$2:$AO$13,2,FALSE)</f>
        <v>#N/A</v>
      </c>
      <c r="D5" s="66"/>
      <c r="E5" s="66"/>
      <c r="F5" s="66"/>
      <c r="G5" s="66"/>
      <c r="K5" s="141" t="str">
        <f>IF(A2=26,"&gt;= " &amp; AJ11,"")</f>
        <v/>
      </c>
      <c r="N5" s="16"/>
      <c r="O5" s="16"/>
      <c r="AA5" s="26"/>
      <c r="AE5" t="s">
        <v>188</v>
      </c>
      <c r="AF5">
        <f>K3</f>
        <v>0</v>
      </c>
      <c r="AI5" s="139" t="s">
        <v>118</v>
      </c>
      <c r="AJ5" s="4" t="s">
        <v>10</v>
      </c>
      <c r="AK5" s="219" t="s">
        <v>186</v>
      </c>
      <c r="AN5" s="1">
        <v>251</v>
      </c>
      <c r="AO5" s="1" t="str">
        <f>IF($AJ$2=251,CONCATENATE("Possibilité d'un deuxième vote à l'article 25,1, majorité 24, "),"")</f>
        <v/>
      </c>
      <c r="AP5" s="1"/>
      <c r="AQ5" s="1"/>
      <c r="AR5" s="1"/>
      <c r="AS5" s="1"/>
    </row>
    <row r="6" spans="1:45" x14ac:dyDescent="0.25">
      <c r="C6" s="64" t="str">
        <f>IF(AND($A$2=26.1,$C$3&lt;$AK$7),CONCATENATE("Majorité des voix ",$AK$7," non acquise"),"")</f>
        <v/>
      </c>
      <c r="D6" s="64"/>
      <c r="E6" s="64"/>
      <c r="F6" s="64"/>
      <c r="G6" s="64"/>
      <c r="K6" s="23" t="s">
        <v>1</v>
      </c>
      <c r="L6" s="24" t="s">
        <v>2</v>
      </c>
      <c r="M6" s="162" t="s">
        <v>13</v>
      </c>
      <c r="N6" s="164" t="s">
        <v>157</v>
      </c>
      <c r="O6" s="16"/>
      <c r="AB6" s="5"/>
      <c r="AE6" s="91" t="s">
        <v>189</v>
      </c>
      <c r="AF6" s="198">
        <f>K7</f>
        <v>0</v>
      </c>
      <c r="AI6" s="139" t="s">
        <v>9</v>
      </c>
      <c r="AJ6" s="4" t="s">
        <v>9</v>
      </c>
      <c r="AK6" s="219" t="s">
        <v>187</v>
      </c>
      <c r="AN6" s="1">
        <v>252</v>
      </c>
      <c r="AO6" s="1" t="str">
        <f>IF($AJ$2=252,CONCATENATE("Résolution adoptée par ",C3," voix POUR et ",D3," voix CONTRE"),"")</f>
        <v/>
      </c>
      <c r="AP6" s="1"/>
      <c r="AQ6" s="1"/>
      <c r="AR6" s="1"/>
      <c r="AS6" s="1"/>
    </row>
    <row r="7" spans="1:45" ht="17.399999999999999" x14ac:dyDescent="0.25">
      <c r="B7" s="150"/>
      <c r="C7" s="64"/>
      <c r="D7" s="67"/>
      <c r="G7" s="228" t="str">
        <f>IF(SUM($O$14:$O$63)&gt;0,"LIMITES DEPASSEES","")</f>
        <v/>
      </c>
      <c r="H7" s="229"/>
      <c r="K7" s="31">
        <f>SUM($K$14:$K$163)</f>
        <v>0</v>
      </c>
      <c r="L7" s="21">
        <f>SUM($L$14:$L$63)</f>
        <v>0</v>
      </c>
      <c r="M7" s="163">
        <f>SUM($M$14:$M$163)</f>
        <v>0</v>
      </c>
      <c r="N7" s="31">
        <f>K7+L7+M7</f>
        <v>0</v>
      </c>
      <c r="O7" s="77" t="str">
        <f>IF(AND($N$7&gt;0,N7&lt;&gt;E11),"EN ATTENTE","")</f>
        <v/>
      </c>
      <c r="AB7" s="5"/>
      <c r="AI7" s="2">
        <f>ROUNDDOWN((D10)/2+1,0)</f>
        <v>5001</v>
      </c>
      <c r="AJ7" s="2">
        <f>ROUNDDOWN((D10)*2/3+1,0)</f>
        <v>6667</v>
      </c>
      <c r="AK7" s="2">
        <f>ROUNDDOWN((D10)*1/3+1,0)</f>
        <v>3334</v>
      </c>
      <c r="AN7" s="1">
        <v>260</v>
      </c>
      <c r="AO7" s="1" t="str">
        <f>IF($AJ$2=260,CONCATENATE("Résolution REJETEE ."),"")</f>
        <v/>
      </c>
      <c r="AP7" s="1"/>
      <c r="AQ7" s="1"/>
      <c r="AR7" s="1"/>
      <c r="AS7" s="1"/>
    </row>
    <row r="8" spans="1:45" x14ac:dyDescent="0.25">
      <c r="C8" s="19" t="s">
        <v>22</v>
      </c>
      <c r="D8" s="36" t="s">
        <v>22</v>
      </c>
      <c r="E8" s="68" t="s">
        <v>21</v>
      </c>
      <c r="G8" s="229"/>
      <c r="H8" s="229"/>
      <c r="AB8" s="5"/>
      <c r="AD8" t="s">
        <v>192</v>
      </c>
      <c r="AE8">
        <f>2*(A2=25)*(J3&gt;=AJ7)</f>
        <v>0</v>
      </c>
      <c r="AF8" t="str">
        <f>IF(AE8=2,"Possibilité 2e vote","")</f>
        <v/>
      </c>
      <c r="AI8" s="140"/>
      <c r="AJ8" s="2">
        <f>ROUNDUP(($D$11+0.1)/2,0)</f>
        <v>13</v>
      </c>
      <c r="AN8" s="1">
        <v>262</v>
      </c>
      <c r="AO8" s="1" t="b">
        <f>IF($AJ$2=262,CONCATENATE("Résolution ADOPTEE par ",C3," voix POUR et ",D3," voix CONTRE"))</f>
        <v>0</v>
      </c>
      <c r="AP8" s="1"/>
      <c r="AQ8" s="1"/>
      <c r="AR8" s="1"/>
      <c r="AS8" s="1"/>
    </row>
    <row r="9" spans="1:45" x14ac:dyDescent="0.25">
      <c r="C9" s="69" t="s">
        <v>19</v>
      </c>
      <c r="D9" s="70" t="s">
        <v>23</v>
      </c>
      <c r="E9" s="71" t="s">
        <v>20</v>
      </c>
      <c r="K9" s="9" t="e">
        <f>VLOOKUP($AJ$2,$AN$2:$AO$13,2,FALSE)</f>
        <v>#N/A</v>
      </c>
      <c r="L9" s="10"/>
      <c r="M9" s="10"/>
      <c r="N9" s="143"/>
      <c r="O9" s="143"/>
      <c r="AB9" s="5"/>
      <c r="AD9" t="s">
        <v>191</v>
      </c>
      <c r="AE9" s="126">
        <f>2*(A2=26)*(K7&gt;=AJ8)*(K3&gt;=AK7)</f>
        <v>0</v>
      </c>
      <c r="AF9" t="str">
        <f>IF(AE9=2,"Possibilité 2e vote","")</f>
        <v/>
      </c>
      <c r="AN9" s="1"/>
      <c r="AO9" s="1"/>
      <c r="AP9" s="1"/>
      <c r="AQ9" s="1"/>
      <c r="AR9" s="1"/>
      <c r="AS9" s="1"/>
    </row>
    <row r="10" spans="1:45" x14ac:dyDescent="0.25">
      <c r="C10" s="72">
        <f>HLOOKUP(1,$Q$1:$AA$4,3,FALSE)</f>
        <v>10000</v>
      </c>
      <c r="D10" s="72">
        <f>HLOOKUP($B$4,$Q$1:$AA$4,3,FALSE)</f>
        <v>10000</v>
      </c>
      <c r="E10" s="73">
        <f>SUM($F$14:$F$63)</f>
        <v>8540</v>
      </c>
      <c r="F10" s="55" t="s">
        <v>24</v>
      </c>
      <c r="AB10" s="5"/>
      <c r="AI10" s="142" t="str">
        <f xml:space="preserve"> IF($A$2=25,"&gt;= " &amp; $AI$7,"")</f>
        <v/>
      </c>
      <c r="AJ10" s="142" t="str">
        <f xml:space="preserve"> IF($A$2=26,"&gt;= " &amp; $AJ$7,"")</f>
        <v/>
      </c>
      <c r="AK10" s="142" t="str">
        <f xml:space="preserve"> IF($A$2=26.1,"&gt;= " &amp; $AK$7,"")</f>
        <v/>
      </c>
      <c r="AN10" s="1"/>
      <c r="AO10" s="1"/>
      <c r="AP10" s="1"/>
      <c r="AQ10" s="1"/>
      <c r="AR10" s="1"/>
      <c r="AS10" s="1"/>
    </row>
    <row r="11" spans="1:45" x14ac:dyDescent="0.25">
      <c r="C11" s="74">
        <f>HLOOKUP(1,$Q$1:$AA$4,4,FALSE)</f>
        <v>25</v>
      </c>
      <c r="D11" s="74">
        <f>HLOOKUP($B$4,$Q$1:$AA$4,4,FALSE)</f>
        <v>25</v>
      </c>
      <c r="E11" s="75">
        <f>SUM($I$14:$I$63)</f>
        <v>21</v>
      </c>
      <c r="F11" s="55" t="s">
        <v>25</v>
      </c>
      <c r="J11" s="64"/>
      <c r="N11" t="str">
        <f>IF(K14+L14+M14&gt;1,"ERREUR","")</f>
        <v/>
      </c>
      <c r="AB11" s="5"/>
      <c r="AC11" s="85">
        <f>SUM($O$14:$O$63)</f>
        <v>0</v>
      </c>
      <c r="AD11" s="126">
        <f>$D$10*$O$12</f>
        <v>1500</v>
      </c>
      <c r="AJ11" s="142" t="str">
        <f xml:space="preserve"> IF($A$2=26,"&gt;= " &amp; $AJ$8,"")</f>
        <v/>
      </c>
      <c r="AN11" s="1"/>
      <c r="AO11" s="1"/>
      <c r="AP11" s="1"/>
      <c r="AQ11" s="1"/>
      <c r="AR11" s="1"/>
      <c r="AS11" s="1"/>
    </row>
    <row r="12" spans="1:45" ht="13.8" thickBot="1" x14ac:dyDescent="0.3">
      <c r="C12" s="76"/>
      <c r="D12" s="77"/>
      <c r="O12" s="217">
        <v>0.15</v>
      </c>
      <c r="P12" s="216"/>
      <c r="Q12" s="16"/>
      <c r="AB12" s="5"/>
      <c r="AN12" s="1"/>
      <c r="AO12" s="1"/>
      <c r="AP12" s="1"/>
      <c r="AQ12" s="1"/>
      <c r="AR12" s="1"/>
      <c r="AS12" s="1"/>
    </row>
    <row r="13" spans="1:45" ht="26.4" x14ac:dyDescent="0.25">
      <c r="A13" s="14" t="s">
        <v>15</v>
      </c>
      <c r="B13" s="15" t="s">
        <v>0</v>
      </c>
      <c r="C13" s="151" t="s">
        <v>55</v>
      </c>
      <c r="D13" s="48" t="s">
        <v>56</v>
      </c>
      <c r="E13" s="49" t="s">
        <v>5</v>
      </c>
      <c r="F13" s="50" t="s">
        <v>8</v>
      </c>
      <c r="G13" s="146" t="s">
        <v>143</v>
      </c>
      <c r="H13" s="51" t="s">
        <v>16</v>
      </c>
      <c r="I13" s="57" t="s">
        <v>12</v>
      </c>
      <c r="J13" s="52" t="s">
        <v>7</v>
      </c>
      <c r="K13" s="54" t="s">
        <v>57</v>
      </c>
      <c r="L13" s="54" t="s">
        <v>145</v>
      </c>
      <c r="M13" s="54" t="s">
        <v>146</v>
      </c>
      <c r="N13" s="3" t="s">
        <v>6</v>
      </c>
      <c r="O13" s="215" t="s">
        <v>29</v>
      </c>
      <c r="P13" s="17" t="s">
        <v>149</v>
      </c>
      <c r="Q13" s="138" t="s">
        <v>18</v>
      </c>
      <c r="R13" s="138" t="str">
        <f t="shared" ref="R13:AA13" si="2">R2</f>
        <v xml:space="preserve"> TANT.</v>
      </c>
      <c r="S13" s="138" t="str">
        <f t="shared" si="2"/>
        <v xml:space="preserve"> TANT.</v>
      </c>
      <c r="T13" s="138" t="str">
        <f t="shared" si="2"/>
        <v xml:space="preserve"> TANT.</v>
      </c>
      <c r="U13" s="138" t="str">
        <f t="shared" si="2"/>
        <v xml:space="preserve"> TANT.</v>
      </c>
      <c r="V13" s="138" t="str">
        <f t="shared" si="2"/>
        <v xml:space="preserve"> TANT.</v>
      </c>
      <c r="W13" s="138" t="str">
        <f t="shared" si="2"/>
        <v xml:space="preserve"> TANT.</v>
      </c>
      <c r="X13" s="138" t="str">
        <f t="shared" si="2"/>
        <v xml:space="preserve"> TANT.</v>
      </c>
      <c r="Y13" s="138" t="str">
        <f t="shared" si="2"/>
        <v xml:space="preserve"> TANT.</v>
      </c>
      <c r="Z13" s="138" t="str">
        <f t="shared" si="2"/>
        <v xml:space="preserve"> TANT.</v>
      </c>
      <c r="AA13" s="138" t="str">
        <f t="shared" si="2"/>
        <v xml:space="preserve"> TANT.</v>
      </c>
      <c r="AB13" s="27" t="s">
        <v>100</v>
      </c>
      <c r="AC13" s="40" t="s">
        <v>28</v>
      </c>
      <c r="AD13" s="39" t="s">
        <v>27</v>
      </c>
      <c r="AE13" s="148" t="s">
        <v>117</v>
      </c>
      <c r="AF13" s="147"/>
      <c r="AG13" s="42"/>
      <c r="AN13" s="1"/>
      <c r="AO13" s="1"/>
      <c r="AP13" s="1"/>
      <c r="AQ13" s="1"/>
      <c r="AR13" s="1"/>
      <c r="AS13" s="1"/>
    </row>
    <row r="14" spans="1:45" x14ac:dyDescent="0.25">
      <c r="A14" s="28">
        <v>1</v>
      </c>
      <c r="B14" s="29" t="str">
        <f>IF(A14&lt;&gt;0,VLOOKUP(A14,Liste!$A$10:$D$59,4,FALSE),"")</f>
        <v>ALADIN André</v>
      </c>
      <c r="C14" s="58">
        <f t="shared" ref="C14:C25" si="3">F14*(K14=1)</f>
        <v>0</v>
      </c>
      <c r="D14" s="58">
        <f t="shared" ref="D14:D45" si="4">F14*(L14=1)</f>
        <v>0</v>
      </c>
      <c r="E14" s="58">
        <f t="shared" ref="E14:E45" si="5">F14*(M14=1)</f>
        <v>0</v>
      </c>
      <c r="F14" s="78">
        <f t="shared" ref="F14:F45" si="6">IF(I14=1,VLOOKUP(A14,$A$14:$AA$63,16+$B$4,0),0)</f>
        <v>425</v>
      </c>
      <c r="G14" s="131">
        <v>1</v>
      </c>
      <c r="H14" s="132"/>
      <c r="I14" s="78">
        <f t="shared" ref="I14:I45" si="7">1*(IF(G14&gt;0,VLOOKUP(A14,$A$14:$AA$63,16+$B$4,0)&gt;0))</f>
        <v>1</v>
      </c>
      <c r="J14" s="78">
        <f t="shared" ref="J14:J45" si="8">IF(F14&gt;0,F14,0)</f>
        <v>425</v>
      </c>
      <c r="K14" s="33"/>
      <c r="L14" s="34"/>
      <c r="M14" s="34"/>
      <c r="N14" s="214" t="str">
        <f>IF(AND(I14&gt;0,K14+L14+M14=0),"EN ATTENTE",IF(K14+L14+M14&gt;1,"ERREUR",""))</f>
        <v>EN ATTENTE</v>
      </c>
      <c r="O14" s="144" t="str">
        <f>IF(AND(AC14&gt;3,AD14&gt;$D$10*$O$12),1,"")</f>
        <v/>
      </c>
      <c r="P14" s="20">
        <f t="shared" ref="P14:P23" si="9">IF(I14=1,K14*(K14=1)+L14*2*(L14=1)+M14*3*(M14=1),5)</f>
        <v>0</v>
      </c>
      <c r="Q14" s="35">
        <f>IF(A14&lt;&gt;0,VLOOKUP(A14,Liste!$A$10:$K$59,8,FALSE),"")</f>
        <v>425</v>
      </c>
      <c r="R14" s="33">
        <v>50</v>
      </c>
      <c r="S14" s="30"/>
      <c r="T14" s="30"/>
      <c r="U14" s="30"/>
      <c r="V14" s="30"/>
      <c r="W14" s="30"/>
      <c r="X14" s="30"/>
      <c r="Y14" s="30"/>
      <c r="Z14" s="30"/>
      <c r="AA14" s="30"/>
      <c r="AB14" s="5">
        <f t="shared" ref="AB14:AB45" si="10">(H14+I14)*(J14&gt;0)</f>
        <v>1</v>
      </c>
      <c r="AC14" s="38">
        <f t="shared" ref="AC14:AC45" si="11">COUNTIF($H$14:$H$63,A14)</f>
        <v>0</v>
      </c>
      <c r="AD14" s="21" t="str">
        <f>IF(AC14&gt;3,(SUMIF($H$14:$H$63,A14,$J$14:$J$63)+VLOOKUP(A14,$A$13:AA$63,16+$B$4)),"")</f>
        <v/>
      </c>
      <c r="AE14" s="149">
        <f t="shared" ref="AE14:AE45" si="12">IF(H14&gt;0,H14+0.5*(I14=1),A14*(I14=1))+(1000*(I14&lt;1))</f>
        <v>1</v>
      </c>
    </row>
    <row r="15" spans="1:45" x14ac:dyDescent="0.25">
      <c r="A15" s="28">
        <v>2</v>
      </c>
      <c r="B15" s="29" t="str">
        <f>IF(A15&lt;&gt;0,VLOOKUP(A15,Liste!$A$10:$D$59,4,FALSE),"")</f>
        <v>AMONICA Marie</v>
      </c>
      <c r="C15" s="58">
        <f t="shared" si="3"/>
        <v>0</v>
      </c>
      <c r="D15" s="58">
        <f t="shared" si="4"/>
        <v>0</v>
      </c>
      <c r="E15" s="58">
        <f t="shared" si="5"/>
        <v>0</v>
      </c>
      <c r="F15" s="78">
        <f t="shared" si="6"/>
        <v>0</v>
      </c>
      <c r="G15" s="131"/>
      <c r="H15" s="132"/>
      <c r="I15" s="78">
        <f t="shared" si="7"/>
        <v>0</v>
      </c>
      <c r="J15" s="78">
        <f t="shared" si="8"/>
        <v>0</v>
      </c>
      <c r="K15" s="33"/>
      <c r="L15" s="34"/>
      <c r="M15" s="34"/>
      <c r="N15" s="214" t="str">
        <f t="shared" ref="N15:N63" si="13">IF(AND(I15&gt;0,K15+L15+M15=0),"EN ATTENTE",IF(K15+L15+M15&gt;1,"ERREUR",""))</f>
        <v/>
      </c>
      <c r="O15" s="144" t="str">
        <f t="shared" ref="O15:O63" si="14">IF(AND(AC15&gt;3,AD15&gt;$D$10*$O$12),1,"")</f>
        <v/>
      </c>
      <c r="P15" s="20">
        <f t="shared" si="9"/>
        <v>5</v>
      </c>
      <c r="Q15" s="35">
        <f>IF(A15&lt;&gt;0,VLOOKUP(A15,Liste!$A$10:$K$59,8,FALSE),"")</f>
        <v>335</v>
      </c>
      <c r="R15" s="33">
        <v>60</v>
      </c>
      <c r="S15" s="30"/>
      <c r="T15" s="30"/>
      <c r="U15" s="30"/>
      <c r="V15" s="30"/>
      <c r="W15" s="30"/>
      <c r="X15" s="30"/>
      <c r="Y15" s="30"/>
      <c r="Z15" s="30"/>
      <c r="AA15" s="30"/>
      <c r="AB15" s="5">
        <f t="shared" si="10"/>
        <v>0</v>
      </c>
      <c r="AC15" s="21">
        <f t="shared" si="11"/>
        <v>0</v>
      </c>
      <c r="AD15" s="21" t="str">
        <f>IF(AC15&gt;3,(SUMIF($H$14:$H$63,A15,$J$14:$J$63)+VLOOKUP(A15,$A$13:AA$63,16+$B$4)),"")</f>
        <v/>
      </c>
      <c r="AE15" s="149">
        <f t="shared" si="12"/>
        <v>1000</v>
      </c>
    </row>
    <row r="16" spans="1:45" x14ac:dyDescent="0.25">
      <c r="A16" s="28">
        <v>3</v>
      </c>
      <c r="B16" s="29" t="str">
        <f>IF(A16&lt;&gt;0,VLOOKUP(A16,Liste!$A$10:$D$59,4,FALSE),"")</f>
        <v>AMSALAM Marcel</v>
      </c>
      <c r="C16" s="58">
        <f t="shared" si="3"/>
        <v>0</v>
      </c>
      <c r="D16" s="58">
        <f t="shared" si="4"/>
        <v>0</v>
      </c>
      <c r="E16" s="58">
        <f t="shared" si="5"/>
        <v>0</v>
      </c>
      <c r="F16" s="78">
        <f t="shared" si="6"/>
        <v>415</v>
      </c>
      <c r="G16" s="131">
        <v>1</v>
      </c>
      <c r="H16" s="132">
        <v>20</v>
      </c>
      <c r="I16" s="78">
        <f t="shared" si="7"/>
        <v>1</v>
      </c>
      <c r="J16" s="78">
        <f t="shared" si="8"/>
        <v>415</v>
      </c>
      <c r="K16" s="33"/>
      <c r="L16" s="34"/>
      <c r="M16" s="34"/>
      <c r="N16" s="214" t="str">
        <f t="shared" si="13"/>
        <v>EN ATTENTE</v>
      </c>
      <c r="O16" s="144" t="str">
        <f t="shared" si="14"/>
        <v/>
      </c>
      <c r="P16" s="20">
        <f t="shared" si="9"/>
        <v>0</v>
      </c>
      <c r="Q16" s="35">
        <f>IF(A16&lt;&gt;0,VLOOKUP(A16,Liste!$A$10:$K$59,8,FALSE),"")</f>
        <v>415</v>
      </c>
      <c r="R16" s="33"/>
      <c r="S16" s="30"/>
      <c r="T16" s="30"/>
      <c r="U16" s="30"/>
      <c r="V16" s="30"/>
      <c r="W16" s="30"/>
      <c r="X16" s="30"/>
      <c r="Y16" s="30"/>
      <c r="Z16" s="30"/>
      <c r="AA16" s="30"/>
      <c r="AB16" s="5">
        <f t="shared" si="10"/>
        <v>21</v>
      </c>
      <c r="AC16" s="21">
        <f t="shared" si="11"/>
        <v>0</v>
      </c>
      <c r="AD16" s="21" t="str">
        <f>IF(AC16&gt;3,(SUMIF($H$14:$H$63,A16,$J$14:$J$63)+VLOOKUP(A16,$A$13:AA$63,16+$B$4)),"")</f>
        <v/>
      </c>
      <c r="AE16" s="149">
        <f t="shared" si="12"/>
        <v>20.5</v>
      </c>
    </row>
    <row r="17" spans="1:31" x14ac:dyDescent="0.25">
      <c r="A17" s="28">
        <v>4</v>
      </c>
      <c r="B17" s="29" t="str">
        <f>IF(A17&lt;&gt;0,VLOOKUP(A17,Liste!$A$10:$D$59,4,FALSE),"")</f>
        <v>ANIEBERT Paul</v>
      </c>
      <c r="C17" s="58">
        <f t="shared" si="3"/>
        <v>0</v>
      </c>
      <c r="D17" s="58">
        <f t="shared" si="4"/>
        <v>0</v>
      </c>
      <c r="E17" s="58">
        <f t="shared" si="5"/>
        <v>0</v>
      </c>
      <c r="F17" s="78">
        <f t="shared" si="6"/>
        <v>320</v>
      </c>
      <c r="G17" s="131">
        <v>1</v>
      </c>
      <c r="H17" s="132"/>
      <c r="I17" s="78">
        <f t="shared" si="7"/>
        <v>1</v>
      </c>
      <c r="J17" s="78">
        <f t="shared" si="8"/>
        <v>320</v>
      </c>
      <c r="K17" s="33"/>
      <c r="L17" s="34"/>
      <c r="M17" s="34"/>
      <c r="N17" s="214" t="str">
        <f t="shared" si="13"/>
        <v>EN ATTENTE</v>
      </c>
      <c r="O17" s="144" t="str">
        <f t="shared" si="14"/>
        <v/>
      </c>
      <c r="P17" s="20">
        <f t="shared" si="9"/>
        <v>0</v>
      </c>
      <c r="Q17" s="35">
        <f>IF(A17&lt;&gt;0,VLOOKUP(A17,Liste!$A$10:$K$59,8,FALSE),"")</f>
        <v>320</v>
      </c>
      <c r="R17" s="33">
        <v>60</v>
      </c>
      <c r="S17" s="33"/>
      <c r="T17" s="33"/>
      <c r="U17" s="33"/>
      <c r="V17" s="33"/>
      <c r="W17" s="33"/>
      <c r="X17" s="33"/>
      <c r="Y17" s="33"/>
      <c r="Z17" s="33"/>
      <c r="AA17" s="33"/>
      <c r="AB17" s="5">
        <f t="shared" si="10"/>
        <v>1</v>
      </c>
      <c r="AC17" s="21">
        <f t="shared" si="11"/>
        <v>0</v>
      </c>
      <c r="AD17" s="21" t="str">
        <f>IF(AC17&gt;3,(SUMIF($H$14:$H$63,A17,$J$14:$J$63)+VLOOKUP(A17,$A$13:AA$63,16+$B$4)),"")</f>
        <v/>
      </c>
      <c r="AE17" s="149">
        <f t="shared" si="12"/>
        <v>4</v>
      </c>
    </row>
    <row r="18" spans="1:31" x14ac:dyDescent="0.25">
      <c r="A18" s="28">
        <v>5</v>
      </c>
      <c r="B18" s="29" t="str">
        <f>IF(A18&lt;&gt;0,VLOOKUP(A18,Liste!$A$10:$D$59,4,FALSE),"")</f>
        <v>ASSALADIN Julie</v>
      </c>
      <c r="C18" s="58">
        <f t="shared" si="3"/>
        <v>0</v>
      </c>
      <c r="D18" s="58">
        <f t="shared" si="4"/>
        <v>0</v>
      </c>
      <c r="E18" s="58">
        <f t="shared" si="5"/>
        <v>0</v>
      </c>
      <c r="F18" s="78">
        <f t="shared" si="6"/>
        <v>665</v>
      </c>
      <c r="G18" s="131">
        <v>1</v>
      </c>
      <c r="H18" s="132"/>
      <c r="I18" s="78">
        <f t="shared" si="7"/>
        <v>1</v>
      </c>
      <c r="J18" s="78">
        <f t="shared" si="8"/>
        <v>665</v>
      </c>
      <c r="K18" s="33"/>
      <c r="L18" s="34"/>
      <c r="M18" s="34"/>
      <c r="N18" s="214" t="str">
        <f t="shared" si="13"/>
        <v>EN ATTENTE</v>
      </c>
      <c r="O18" s="144" t="str">
        <f t="shared" si="14"/>
        <v/>
      </c>
      <c r="P18" s="20">
        <f t="shared" si="9"/>
        <v>0</v>
      </c>
      <c r="Q18" s="35">
        <f>IF(A18&lt;&gt;0,VLOOKUP(A18,Liste!$A$10:$K$59,8,FALSE),"")</f>
        <v>665</v>
      </c>
      <c r="R18" s="33">
        <v>20</v>
      </c>
      <c r="S18" s="33"/>
      <c r="T18" s="33"/>
      <c r="U18" s="33"/>
      <c r="V18" s="33"/>
      <c r="W18" s="33"/>
      <c r="X18" s="33"/>
      <c r="Y18" s="33"/>
      <c r="Z18" s="33"/>
      <c r="AA18" s="33"/>
      <c r="AB18" s="5">
        <f t="shared" si="10"/>
        <v>1</v>
      </c>
      <c r="AC18" s="21">
        <f t="shared" si="11"/>
        <v>2</v>
      </c>
      <c r="AD18" s="21" t="str">
        <f>IF(AC18&gt;3,(SUMIF($H$14:$H$63,A18,$J$14:$J$63)+VLOOKUP(A18,$A$13:AA$63,16+$B$4)),"")</f>
        <v/>
      </c>
      <c r="AE18" s="149">
        <f t="shared" si="12"/>
        <v>5</v>
      </c>
    </row>
    <row r="19" spans="1:31" x14ac:dyDescent="0.25">
      <c r="A19" s="28">
        <v>6</v>
      </c>
      <c r="B19" s="29" t="str">
        <f>IF(A19&lt;&gt;0,VLOOKUP(A19,Liste!$A$10:$D$59,4,FALSE),"")</f>
        <v>AUBEPINE André</v>
      </c>
      <c r="C19" s="58">
        <f t="shared" si="3"/>
        <v>0</v>
      </c>
      <c r="D19" s="58">
        <f t="shared" si="4"/>
        <v>0</v>
      </c>
      <c r="E19" s="58">
        <f t="shared" si="5"/>
        <v>0</v>
      </c>
      <c r="F19" s="78">
        <f t="shared" si="6"/>
        <v>0</v>
      </c>
      <c r="G19" s="131"/>
      <c r="H19" s="132"/>
      <c r="I19" s="78">
        <f t="shared" si="7"/>
        <v>0</v>
      </c>
      <c r="J19" s="78">
        <f t="shared" si="8"/>
        <v>0</v>
      </c>
      <c r="K19" s="33"/>
      <c r="L19" s="34"/>
      <c r="M19" s="34"/>
      <c r="N19" s="214" t="str">
        <f t="shared" si="13"/>
        <v/>
      </c>
      <c r="O19" s="144" t="str">
        <f t="shared" si="14"/>
        <v/>
      </c>
      <c r="P19" s="20">
        <f t="shared" si="9"/>
        <v>5</v>
      </c>
      <c r="Q19" s="35">
        <f>IF(A19&lt;&gt;0,VLOOKUP(A19,Liste!$A$10:$K$59,8,FALSE),"")</f>
        <v>365</v>
      </c>
      <c r="R19" s="33">
        <v>30</v>
      </c>
      <c r="S19" s="33"/>
      <c r="T19" s="33"/>
      <c r="U19" s="33"/>
      <c r="V19" s="33"/>
      <c r="W19" s="33"/>
      <c r="X19" s="33"/>
      <c r="Y19" s="33"/>
      <c r="Z19" s="33"/>
      <c r="AA19" s="33"/>
      <c r="AB19" s="5">
        <f t="shared" si="10"/>
        <v>0</v>
      </c>
      <c r="AC19" s="21">
        <f t="shared" si="11"/>
        <v>0</v>
      </c>
      <c r="AD19" s="21" t="str">
        <f>IF(AC19&gt;3,(SUMIF($H$14:$H$63,A19,$J$14:$J$63)+VLOOKUP(A19,$A$13:AA$63,16+$B$4)),"")</f>
        <v/>
      </c>
      <c r="AE19" s="149">
        <f t="shared" si="12"/>
        <v>1000</v>
      </c>
    </row>
    <row r="20" spans="1:31" x14ac:dyDescent="0.25">
      <c r="A20" s="28">
        <v>7</v>
      </c>
      <c r="B20" s="29" t="str">
        <f>IF(A20&lt;&gt;0,VLOOKUP(A20,Liste!$A$10:$D$59,4,FALSE),"")</f>
        <v>AURIDON Jean-Paul</v>
      </c>
      <c r="C20" s="58">
        <f t="shared" si="3"/>
        <v>0</v>
      </c>
      <c r="D20" s="58">
        <f t="shared" si="4"/>
        <v>0</v>
      </c>
      <c r="E20" s="58">
        <f t="shared" si="5"/>
        <v>0</v>
      </c>
      <c r="F20" s="78">
        <f t="shared" si="6"/>
        <v>280</v>
      </c>
      <c r="G20" s="131">
        <v>3</v>
      </c>
      <c r="H20" s="132"/>
      <c r="I20" s="78">
        <f t="shared" si="7"/>
        <v>1</v>
      </c>
      <c r="J20" s="78">
        <f t="shared" si="8"/>
        <v>280</v>
      </c>
      <c r="K20" s="33"/>
      <c r="L20" s="34"/>
      <c r="M20" s="34"/>
      <c r="N20" s="214" t="str">
        <f t="shared" si="13"/>
        <v>EN ATTENTE</v>
      </c>
      <c r="O20" s="144" t="str">
        <f t="shared" si="14"/>
        <v/>
      </c>
      <c r="P20" s="20">
        <f t="shared" si="9"/>
        <v>0</v>
      </c>
      <c r="Q20" s="35">
        <f>IF(A20&lt;&gt;0,VLOOKUP(A20,Liste!$A$10:$K$59,8,FALSE),"")</f>
        <v>280</v>
      </c>
      <c r="R20" s="33"/>
      <c r="S20" s="33"/>
      <c r="T20" s="33"/>
      <c r="U20" s="33"/>
      <c r="V20" s="33"/>
      <c r="W20" s="33"/>
      <c r="X20" s="33"/>
      <c r="Y20" s="33"/>
      <c r="Z20" s="33"/>
      <c r="AA20" s="33"/>
      <c r="AB20" s="5">
        <f t="shared" si="10"/>
        <v>1</v>
      </c>
      <c r="AC20" s="21">
        <f t="shared" si="11"/>
        <v>0</v>
      </c>
      <c r="AD20" s="21" t="str">
        <f>IF(AC20&gt;3,(SUMIF($H$14:$H$63,A20,$J$14:$J$63)+VLOOKUP(A20,$A$13:AA$63,16+$B$4)),"")</f>
        <v/>
      </c>
      <c r="AE20" s="149">
        <f t="shared" si="12"/>
        <v>7</v>
      </c>
    </row>
    <row r="21" spans="1:31" x14ac:dyDescent="0.25">
      <c r="A21" s="28">
        <v>8</v>
      </c>
      <c r="B21" s="29" t="str">
        <f>IF(A21&lt;&gt;0,VLOOKUP(A21,Liste!$A$10:$D$59,4,FALSE),"")</f>
        <v>BACHELIER Paul</v>
      </c>
      <c r="C21" s="58">
        <f t="shared" si="3"/>
        <v>0</v>
      </c>
      <c r="D21" s="58">
        <f t="shared" si="4"/>
        <v>0</v>
      </c>
      <c r="E21" s="58">
        <f t="shared" si="5"/>
        <v>0</v>
      </c>
      <c r="F21" s="78">
        <f t="shared" si="6"/>
        <v>355</v>
      </c>
      <c r="G21" s="131">
        <v>1</v>
      </c>
      <c r="H21" s="132">
        <v>20</v>
      </c>
      <c r="I21" s="78">
        <f t="shared" si="7"/>
        <v>1</v>
      </c>
      <c r="J21" s="78">
        <f t="shared" si="8"/>
        <v>355</v>
      </c>
      <c r="K21" s="33"/>
      <c r="L21" s="34"/>
      <c r="M21" s="34"/>
      <c r="N21" s="214" t="str">
        <f t="shared" si="13"/>
        <v>EN ATTENTE</v>
      </c>
      <c r="O21" s="144" t="str">
        <f t="shared" si="14"/>
        <v/>
      </c>
      <c r="P21" s="20">
        <f t="shared" si="9"/>
        <v>0</v>
      </c>
      <c r="Q21" s="35">
        <f>IF(A21&lt;&gt;0,VLOOKUP(A21,Liste!$A$10:$K$59,8,FALSE),"")</f>
        <v>355</v>
      </c>
      <c r="R21" s="33">
        <v>20</v>
      </c>
      <c r="S21" s="33"/>
      <c r="T21" s="33"/>
      <c r="U21" s="33"/>
      <c r="V21" s="33"/>
      <c r="W21" s="33"/>
      <c r="X21" s="33"/>
      <c r="Y21" s="33"/>
      <c r="Z21" s="33"/>
      <c r="AA21" s="33"/>
      <c r="AB21" s="5">
        <f t="shared" si="10"/>
        <v>21</v>
      </c>
      <c r="AC21" s="21">
        <f t="shared" si="11"/>
        <v>0</v>
      </c>
      <c r="AD21" s="21" t="str">
        <f>IF(AC21&gt;3,(SUMIF($H$14:$H$63,A21,$J$14:$J$63)+VLOOKUP(A21,$A$13:AA$63,16+$B$4)),"")</f>
        <v/>
      </c>
      <c r="AE21" s="149">
        <f t="shared" si="12"/>
        <v>20.5</v>
      </c>
    </row>
    <row r="22" spans="1:31" x14ac:dyDescent="0.25">
      <c r="A22" s="28">
        <v>9</v>
      </c>
      <c r="B22" s="29" t="str">
        <f>IF(A22&lt;&gt;0,VLOOKUP(A22,Liste!$A$10:$D$59,4,FALSE),"")</f>
        <v>DUBOIS/BALARDIN Joseph</v>
      </c>
      <c r="C22" s="58">
        <f t="shared" si="3"/>
        <v>0</v>
      </c>
      <c r="D22" s="58">
        <f t="shared" si="4"/>
        <v>0</v>
      </c>
      <c r="E22" s="58">
        <f t="shared" si="5"/>
        <v>0</v>
      </c>
      <c r="F22" s="78">
        <f t="shared" si="6"/>
        <v>0</v>
      </c>
      <c r="G22" s="131"/>
      <c r="H22" s="132"/>
      <c r="I22" s="78">
        <f t="shared" si="7"/>
        <v>0</v>
      </c>
      <c r="J22" s="78">
        <f t="shared" si="8"/>
        <v>0</v>
      </c>
      <c r="K22" s="33"/>
      <c r="L22" s="34"/>
      <c r="M22" s="34"/>
      <c r="N22" s="214" t="str">
        <f t="shared" si="13"/>
        <v/>
      </c>
      <c r="O22" s="144" t="str">
        <f t="shared" si="14"/>
        <v/>
      </c>
      <c r="P22" s="20">
        <f t="shared" si="9"/>
        <v>5</v>
      </c>
      <c r="Q22" s="35">
        <f>IF(A22&lt;&gt;0,VLOOKUP(A22,Liste!$A$10:$K$59,8,FALSE),"")</f>
        <v>380</v>
      </c>
      <c r="R22" s="33">
        <v>130</v>
      </c>
      <c r="S22" s="33"/>
      <c r="T22" s="33"/>
      <c r="U22" s="33"/>
      <c r="V22" s="33"/>
      <c r="W22" s="33"/>
      <c r="X22" s="33"/>
      <c r="Y22" s="33"/>
      <c r="Z22" s="33"/>
      <c r="AA22" s="33"/>
      <c r="AB22" s="5">
        <f t="shared" si="10"/>
        <v>0</v>
      </c>
      <c r="AC22" s="21">
        <f t="shared" si="11"/>
        <v>0</v>
      </c>
      <c r="AD22" s="21" t="str">
        <f>IF(AC22&gt;3,(SUMIF($H$14:$H$63,A22,$J$14:$J$63)+VLOOKUP(A22,$A$13:AA$63,16+$B$4)),"")</f>
        <v/>
      </c>
      <c r="AE22" s="149">
        <f t="shared" si="12"/>
        <v>1000</v>
      </c>
    </row>
    <row r="23" spans="1:31" x14ac:dyDescent="0.25">
      <c r="A23" s="28">
        <v>10</v>
      </c>
      <c r="B23" s="29" t="str">
        <f>IF(A23&lt;&gt;0,VLOOKUP(A23,Liste!$A$10:$D$59,4,FALSE),"")</f>
        <v>BALDARINI Marc</v>
      </c>
      <c r="C23" s="58">
        <f t="shared" si="3"/>
        <v>0</v>
      </c>
      <c r="D23" s="58">
        <f t="shared" si="4"/>
        <v>0</v>
      </c>
      <c r="E23" s="58">
        <f t="shared" si="5"/>
        <v>0</v>
      </c>
      <c r="F23" s="78">
        <f t="shared" si="6"/>
        <v>385</v>
      </c>
      <c r="G23" s="131">
        <v>1</v>
      </c>
      <c r="H23" s="132">
        <v>15</v>
      </c>
      <c r="I23" s="78">
        <f t="shared" si="7"/>
        <v>1</v>
      </c>
      <c r="J23" s="78">
        <f t="shared" si="8"/>
        <v>385</v>
      </c>
      <c r="K23" s="33"/>
      <c r="L23" s="34"/>
      <c r="M23" s="34"/>
      <c r="N23" s="214" t="str">
        <f t="shared" si="13"/>
        <v>EN ATTENTE</v>
      </c>
      <c r="O23" s="144" t="str">
        <f t="shared" si="14"/>
        <v/>
      </c>
      <c r="P23" s="20">
        <f t="shared" si="9"/>
        <v>0</v>
      </c>
      <c r="Q23" s="35">
        <f>IF(A23&lt;&gt;0,VLOOKUP(A23,Liste!$A$10:$K$59,8,FALSE),"")</f>
        <v>385</v>
      </c>
      <c r="R23" s="33">
        <v>80</v>
      </c>
      <c r="S23" s="33"/>
      <c r="T23" s="33"/>
      <c r="U23" s="33"/>
      <c r="V23" s="33"/>
      <c r="W23" s="33"/>
      <c r="X23" s="33"/>
      <c r="Y23" s="33"/>
      <c r="Z23" s="33"/>
      <c r="AA23" s="33"/>
      <c r="AB23" s="5">
        <f t="shared" si="10"/>
        <v>16</v>
      </c>
      <c r="AC23" s="21">
        <f t="shared" si="11"/>
        <v>0</v>
      </c>
      <c r="AD23" s="21" t="str">
        <f>IF(AC23&gt;3,(SUMIF($H$14:$H$63,A23,$J$14:$J$63)+VLOOKUP(A23,$A$13:AA$63,16+$B$4)),"")</f>
        <v/>
      </c>
      <c r="AE23" s="149">
        <f t="shared" si="12"/>
        <v>15.5</v>
      </c>
    </row>
    <row r="24" spans="1:31" x14ac:dyDescent="0.25">
      <c r="A24" s="28">
        <v>11</v>
      </c>
      <c r="B24" s="29" t="str">
        <f>IF(A24&lt;&gt;0,VLOOKUP(A24,Liste!$A$10:$D$59,4,FALSE),"")</f>
        <v>BARATIN Isaac</v>
      </c>
      <c r="C24" s="58">
        <f t="shared" si="3"/>
        <v>0</v>
      </c>
      <c r="D24" s="58">
        <f t="shared" si="4"/>
        <v>0</v>
      </c>
      <c r="E24" s="58">
        <f t="shared" si="5"/>
        <v>0</v>
      </c>
      <c r="F24" s="78">
        <f t="shared" si="6"/>
        <v>355</v>
      </c>
      <c r="G24" s="131">
        <v>1</v>
      </c>
      <c r="H24" s="132">
        <v>15</v>
      </c>
      <c r="I24" s="78">
        <f t="shared" si="7"/>
        <v>1</v>
      </c>
      <c r="J24" s="78">
        <f t="shared" si="8"/>
        <v>355</v>
      </c>
      <c r="K24" s="33"/>
      <c r="L24" s="34"/>
      <c r="M24" s="34"/>
      <c r="N24" s="214" t="str">
        <f t="shared" si="13"/>
        <v>EN ATTENTE</v>
      </c>
      <c r="O24" s="144" t="str">
        <f t="shared" si="14"/>
        <v/>
      </c>
      <c r="P24" s="20">
        <f t="shared" ref="P24:P63" si="15">IF(I24=1,K24*(K24=1)+L24*2*(L24=1)+M24*3*(M24=1),5)</f>
        <v>0</v>
      </c>
      <c r="Q24" s="35">
        <f>IF(A24&lt;&gt;0,VLOOKUP(A24,Liste!$A$10:$K$59,8,FALSE),"")</f>
        <v>355</v>
      </c>
      <c r="R24" s="33">
        <v>110</v>
      </c>
      <c r="S24" s="33"/>
      <c r="T24" s="33"/>
      <c r="U24" s="33"/>
      <c r="V24" s="33"/>
      <c r="W24" s="33"/>
      <c r="X24" s="33"/>
      <c r="Y24" s="33"/>
      <c r="Z24" s="33"/>
      <c r="AA24" s="33"/>
      <c r="AB24" s="5">
        <f t="shared" si="10"/>
        <v>16</v>
      </c>
      <c r="AC24" s="21">
        <f t="shared" si="11"/>
        <v>0</v>
      </c>
      <c r="AD24" s="21" t="str">
        <f>IF(AC24&gt;3,(SUMIF($H$14:$H$63,A24,$J$14:$J$63)+VLOOKUP(A24,$A$13:AA$63,16+$B$4)),"")</f>
        <v/>
      </c>
      <c r="AE24" s="149">
        <f t="shared" si="12"/>
        <v>15.5</v>
      </c>
    </row>
    <row r="25" spans="1:31" x14ac:dyDescent="0.25">
      <c r="A25" s="28">
        <v>12</v>
      </c>
      <c r="B25" s="29" t="str">
        <f>IF(A25&lt;&gt;0,VLOOKUP(A25,Liste!$A$10:$D$59,4,FALSE),"")</f>
        <v>BARDON Pierre</v>
      </c>
      <c r="C25" s="58">
        <f t="shared" si="3"/>
        <v>0</v>
      </c>
      <c r="D25" s="58">
        <f t="shared" si="4"/>
        <v>0</v>
      </c>
      <c r="E25" s="58">
        <f t="shared" si="5"/>
        <v>0</v>
      </c>
      <c r="F25" s="78">
        <f t="shared" si="6"/>
        <v>480</v>
      </c>
      <c r="G25" s="131">
        <v>1</v>
      </c>
      <c r="H25" s="132"/>
      <c r="I25" s="78">
        <f t="shared" si="7"/>
        <v>1</v>
      </c>
      <c r="J25" s="78">
        <f t="shared" si="8"/>
        <v>480</v>
      </c>
      <c r="K25" s="33"/>
      <c r="L25" s="34"/>
      <c r="M25" s="34"/>
      <c r="N25" s="214" t="str">
        <f t="shared" si="13"/>
        <v>EN ATTENTE</v>
      </c>
      <c r="O25" s="144" t="str">
        <f t="shared" si="14"/>
        <v/>
      </c>
      <c r="P25" s="20">
        <f t="shared" si="15"/>
        <v>0</v>
      </c>
      <c r="Q25" s="35">
        <f>IF(A25&lt;&gt;0,VLOOKUP(A25,Liste!$A$10:$K$59,8,FALSE),"")</f>
        <v>480</v>
      </c>
      <c r="R25" s="33"/>
      <c r="S25" s="33"/>
      <c r="T25" s="33"/>
      <c r="U25" s="33"/>
      <c r="V25" s="33"/>
      <c r="W25" s="33"/>
      <c r="X25" s="33"/>
      <c r="Y25" s="33"/>
      <c r="Z25" s="33"/>
      <c r="AA25" s="33"/>
      <c r="AB25" s="5">
        <f t="shared" si="10"/>
        <v>1</v>
      </c>
      <c r="AC25" s="21">
        <f t="shared" si="11"/>
        <v>0</v>
      </c>
      <c r="AD25" s="21" t="str">
        <f>IF(AC25&gt;3,(SUMIF($H$14:$H$63,A25,$J$14:$J$63)+VLOOKUP(A25,$A$13:AA$63,16+$B$4)),"")</f>
        <v/>
      </c>
      <c r="AE25" s="149">
        <f t="shared" si="12"/>
        <v>12</v>
      </c>
    </row>
    <row r="26" spans="1:31" x14ac:dyDescent="0.25">
      <c r="A26" s="28">
        <v>13</v>
      </c>
      <c r="B26" s="29" t="str">
        <f>IF(A26&lt;&gt;0,VLOOKUP(A26,Liste!$A$10:$D$59,4,FALSE),"")</f>
        <v>BARMAN Marcel</v>
      </c>
      <c r="C26" s="58">
        <f t="shared" ref="C26:C38" si="16">F26*(K26=1)</f>
        <v>0</v>
      </c>
      <c r="D26" s="58">
        <f t="shared" si="4"/>
        <v>0</v>
      </c>
      <c r="E26" s="58">
        <f t="shared" si="5"/>
        <v>0</v>
      </c>
      <c r="F26" s="78">
        <f t="shared" si="6"/>
        <v>320</v>
      </c>
      <c r="G26" s="131">
        <v>1</v>
      </c>
      <c r="H26" s="132"/>
      <c r="I26" s="78">
        <f t="shared" si="7"/>
        <v>1</v>
      </c>
      <c r="J26" s="78">
        <f t="shared" si="8"/>
        <v>320</v>
      </c>
      <c r="K26" s="33"/>
      <c r="L26" s="34"/>
      <c r="M26" s="34"/>
      <c r="N26" s="214" t="str">
        <f t="shared" si="13"/>
        <v>EN ATTENTE</v>
      </c>
      <c r="O26" s="144" t="str">
        <f t="shared" si="14"/>
        <v/>
      </c>
      <c r="P26" s="20">
        <f t="shared" si="15"/>
        <v>0</v>
      </c>
      <c r="Q26" s="35">
        <f>IF(A26&lt;&gt;0,VLOOKUP(A26,Liste!$A$10:$K$59,8,FALSE),"")</f>
        <v>320</v>
      </c>
      <c r="R26" s="33">
        <v>10</v>
      </c>
      <c r="S26" s="33"/>
      <c r="T26" s="33"/>
      <c r="U26" s="33"/>
      <c r="V26" s="33"/>
      <c r="W26" s="33"/>
      <c r="X26" s="33"/>
      <c r="Y26" s="33"/>
      <c r="Z26" s="33"/>
      <c r="AA26" s="33"/>
      <c r="AB26" s="5">
        <f t="shared" si="10"/>
        <v>1</v>
      </c>
      <c r="AC26" s="21">
        <f t="shared" si="11"/>
        <v>0</v>
      </c>
      <c r="AD26" s="21" t="str">
        <f>IF(AC26&gt;3,(SUMIF($H$14:$H$63,A26,$J$14:$J$63)+VLOOKUP(A26,$A$13:AA$63,16+$B$4)),"")</f>
        <v/>
      </c>
      <c r="AE26" s="149">
        <f t="shared" si="12"/>
        <v>13</v>
      </c>
    </row>
    <row r="27" spans="1:31" x14ac:dyDescent="0.25">
      <c r="A27" s="28">
        <v>14</v>
      </c>
      <c r="B27" s="29" t="str">
        <f>IF(A27&lt;&gt;0,VLOOKUP(A27,Liste!$A$10:$D$59,4,FALSE),"")</f>
        <v>BATEMONT Jeanne</v>
      </c>
      <c r="C27" s="58">
        <f t="shared" si="16"/>
        <v>0</v>
      </c>
      <c r="D27" s="58">
        <f t="shared" si="4"/>
        <v>0</v>
      </c>
      <c r="E27" s="58">
        <f t="shared" si="5"/>
        <v>0</v>
      </c>
      <c r="F27" s="78">
        <f t="shared" si="6"/>
        <v>435</v>
      </c>
      <c r="G27" s="131">
        <v>1</v>
      </c>
      <c r="H27" s="132"/>
      <c r="I27" s="78">
        <f t="shared" si="7"/>
        <v>1</v>
      </c>
      <c r="J27" s="78">
        <f t="shared" si="8"/>
        <v>435</v>
      </c>
      <c r="K27" s="33"/>
      <c r="L27" s="34"/>
      <c r="M27" s="34"/>
      <c r="N27" s="214" t="str">
        <f t="shared" si="13"/>
        <v>EN ATTENTE</v>
      </c>
      <c r="O27" s="144" t="str">
        <f t="shared" si="14"/>
        <v/>
      </c>
      <c r="P27" s="20">
        <f t="shared" si="15"/>
        <v>0</v>
      </c>
      <c r="Q27" s="35">
        <f>IF(A27&lt;&gt;0,VLOOKUP(A27,Liste!$A$10:$K$59,8,FALSE),"")</f>
        <v>435</v>
      </c>
      <c r="R27" s="33">
        <v>70</v>
      </c>
      <c r="S27" s="33"/>
      <c r="T27" s="33"/>
      <c r="U27" s="33"/>
      <c r="V27" s="33"/>
      <c r="W27" s="33"/>
      <c r="X27" s="33"/>
      <c r="Y27" s="33"/>
      <c r="Z27" s="33"/>
      <c r="AA27" s="33"/>
      <c r="AB27" s="5">
        <f t="shared" si="10"/>
        <v>1</v>
      </c>
      <c r="AC27" s="21">
        <f t="shared" si="11"/>
        <v>0</v>
      </c>
      <c r="AD27" s="21" t="str">
        <f>IF(AC27&gt;3,(SUMIF($H$14:$H$63,A27,$J$14:$J$63)+VLOOKUP(A27,$A$13:AA$63,16+$B$4)),"")</f>
        <v/>
      </c>
      <c r="AE27" s="149">
        <f t="shared" si="12"/>
        <v>14</v>
      </c>
    </row>
    <row r="28" spans="1:31" x14ac:dyDescent="0.25">
      <c r="A28" s="28">
        <v>15</v>
      </c>
      <c r="B28" s="29" t="str">
        <f>IF(A28&lt;&gt;0,VLOOKUP(A28,Liste!$A$10:$D$59,4,FALSE),"")</f>
        <v>BAUDIARD Marcelin</v>
      </c>
      <c r="C28" s="58">
        <f t="shared" si="16"/>
        <v>0</v>
      </c>
      <c r="D28" s="58">
        <f t="shared" si="4"/>
        <v>0</v>
      </c>
      <c r="E28" s="58">
        <f t="shared" si="5"/>
        <v>0</v>
      </c>
      <c r="F28" s="78">
        <f t="shared" si="6"/>
        <v>395</v>
      </c>
      <c r="G28" s="131">
        <v>1</v>
      </c>
      <c r="H28" s="132"/>
      <c r="I28" s="78">
        <f t="shared" si="7"/>
        <v>1</v>
      </c>
      <c r="J28" s="78">
        <f t="shared" si="8"/>
        <v>395</v>
      </c>
      <c r="K28" s="33"/>
      <c r="L28" s="34"/>
      <c r="M28" s="34"/>
      <c r="N28" s="214" t="str">
        <f t="shared" si="13"/>
        <v>EN ATTENTE</v>
      </c>
      <c r="O28" s="144" t="str">
        <f t="shared" si="14"/>
        <v/>
      </c>
      <c r="P28" s="20">
        <f t="shared" si="15"/>
        <v>0</v>
      </c>
      <c r="Q28" s="35">
        <f>IF(A28&lt;&gt;0,VLOOKUP(A28,Liste!$A$10:$K$59,8,FALSE),"")</f>
        <v>395</v>
      </c>
      <c r="R28" s="33">
        <v>60</v>
      </c>
      <c r="S28" s="33"/>
      <c r="T28" s="33"/>
      <c r="U28" s="33"/>
      <c r="V28" s="33"/>
      <c r="W28" s="33"/>
      <c r="X28" s="33"/>
      <c r="Y28" s="33"/>
      <c r="Z28" s="33"/>
      <c r="AA28" s="33"/>
      <c r="AB28" s="5">
        <f t="shared" si="10"/>
        <v>1</v>
      </c>
      <c r="AC28" s="21">
        <f t="shared" si="11"/>
        <v>3</v>
      </c>
      <c r="AD28" s="21" t="str">
        <f>IF(AC28&gt;3,(SUMIF($H$14:$H$63,A28,$J$14:$J$63)+VLOOKUP(A28,$A$13:AA$63,16+$B$4)),"")</f>
        <v/>
      </c>
      <c r="AE28" s="149">
        <f t="shared" si="12"/>
        <v>15</v>
      </c>
    </row>
    <row r="29" spans="1:31" x14ac:dyDescent="0.25">
      <c r="A29" s="28">
        <v>16</v>
      </c>
      <c r="B29" s="29" t="str">
        <f>IF(A29&lt;&gt;0,VLOOKUP(A29,Liste!$A$10:$D$59,4,FALSE),"")</f>
        <v>BELARDIN Denis</v>
      </c>
      <c r="C29" s="58">
        <f t="shared" si="16"/>
        <v>0</v>
      </c>
      <c r="D29" s="58">
        <f t="shared" si="4"/>
        <v>0</v>
      </c>
      <c r="E29" s="58">
        <f t="shared" si="5"/>
        <v>0</v>
      </c>
      <c r="F29" s="78">
        <f t="shared" si="6"/>
        <v>390</v>
      </c>
      <c r="G29" s="131">
        <v>3</v>
      </c>
      <c r="H29" s="132"/>
      <c r="I29" s="78">
        <f t="shared" si="7"/>
        <v>1</v>
      </c>
      <c r="J29" s="78">
        <f t="shared" si="8"/>
        <v>390</v>
      </c>
      <c r="K29" s="33"/>
      <c r="L29" s="34"/>
      <c r="M29" s="34"/>
      <c r="N29" s="214" t="str">
        <f t="shared" si="13"/>
        <v>EN ATTENTE</v>
      </c>
      <c r="O29" s="144" t="str">
        <f t="shared" si="14"/>
        <v/>
      </c>
      <c r="P29" s="20">
        <f t="shared" si="15"/>
        <v>0</v>
      </c>
      <c r="Q29" s="35">
        <f>IF(A29&lt;&gt;0,VLOOKUP(A29,Liste!$A$10:$K$59,8,FALSE),"")</f>
        <v>390</v>
      </c>
      <c r="R29" s="33">
        <v>40</v>
      </c>
      <c r="S29" s="33"/>
      <c r="T29" s="33"/>
      <c r="U29" s="33"/>
      <c r="V29" s="33"/>
      <c r="W29" s="33"/>
      <c r="X29" s="33"/>
      <c r="Y29" s="33"/>
      <c r="Z29" s="33"/>
      <c r="AA29" s="33"/>
      <c r="AB29" s="5">
        <f t="shared" si="10"/>
        <v>1</v>
      </c>
      <c r="AC29" s="21">
        <f t="shared" si="11"/>
        <v>0</v>
      </c>
      <c r="AD29" s="21" t="str">
        <f>IF(AC29&gt;3,(SUMIF($H$14:$H$63,A29,$J$14:$J$63)+VLOOKUP(A29,$A$13:AA$63,16+$B$4)),"")</f>
        <v/>
      </c>
      <c r="AE29" s="149">
        <f t="shared" si="12"/>
        <v>16</v>
      </c>
    </row>
    <row r="30" spans="1:31" x14ac:dyDescent="0.25">
      <c r="A30" s="28">
        <v>17</v>
      </c>
      <c r="B30" s="29" t="str">
        <f>IF(A30&lt;&gt;0,VLOOKUP(A30,Liste!$A$10:$D$59,4,FALSE),"")</f>
        <v>BERTELOT Marcel</v>
      </c>
      <c r="C30" s="58">
        <f t="shared" si="16"/>
        <v>0</v>
      </c>
      <c r="D30" s="58">
        <f t="shared" si="4"/>
        <v>0</v>
      </c>
      <c r="E30" s="58">
        <f t="shared" si="5"/>
        <v>0</v>
      </c>
      <c r="F30" s="78">
        <f t="shared" si="6"/>
        <v>395</v>
      </c>
      <c r="G30" s="131">
        <v>1</v>
      </c>
      <c r="H30" s="132">
        <v>20</v>
      </c>
      <c r="I30" s="78">
        <f t="shared" si="7"/>
        <v>1</v>
      </c>
      <c r="J30" s="78">
        <f t="shared" si="8"/>
        <v>395</v>
      </c>
      <c r="K30" s="33"/>
      <c r="L30" s="34"/>
      <c r="M30" s="34"/>
      <c r="N30" s="214" t="str">
        <f t="shared" si="13"/>
        <v>EN ATTENTE</v>
      </c>
      <c r="O30" s="144" t="str">
        <f t="shared" si="14"/>
        <v/>
      </c>
      <c r="P30" s="20">
        <f t="shared" si="15"/>
        <v>0</v>
      </c>
      <c r="Q30" s="35">
        <f>IF(A30&lt;&gt;0,VLOOKUP(A30,Liste!$A$10:$K$59,8,FALSE),"")</f>
        <v>395</v>
      </c>
      <c r="R30" s="33">
        <v>80</v>
      </c>
      <c r="S30" s="33"/>
      <c r="T30" s="33"/>
      <c r="U30" s="33"/>
      <c r="V30" s="33"/>
      <c r="W30" s="33"/>
      <c r="X30" s="33"/>
      <c r="Y30" s="33"/>
      <c r="Z30" s="33"/>
      <c r="AA30" s="33"/>
      <c r="AB30" s="5">
        <f t="shared" si="10"/>
        <v>21</v>
      </c>
      <c r="AC30" s="21">
        <f t="shared" si="11"/>
        <v>0</v>
      </c>
      <c r="AD30" s="21" t="str">
        <f>IF(AC30&gt;3,(SUMIF($H$14:$H$63,A30,$J$14:$J$63)+VLOOKUP(A30,$A$13:AA$63,16+$B$4)),"")</f>
        <v/>
      </c>
      <c r="AE30" s="149">
        <f t="shared" si="12"/>
        <v>20.5</v>
      </c>
    </row>
    <row r="31" spans="1:31" x14ac:dyDescent="0.25">
      <c r="A31" s="28">
        <v>18</v>
      </c>
      <c r="B31" s="29" t="str">
        <f>IF(A31&lt;&gt;0,VLOOKUP(A31,Liste!$A$10:$D$59,4,FALSE),"")</f>
        <v>BESARDINI Luciennne</v>
      </c>
      <c r="C31" s="58">
        <f t="shared" si="16"/>
        <v>0</v>
      </c>
      <c r="D31" s="58">
        <f t="shared" si="4"/>
        <v>0</v>
      </c>
      <c r="E31" s="58">
        <f t="shared" si="5"/>
        <v>0</v>
      </c>
      <c r="F31" s="78">
        <f t="shared" si="6"/>
        <v>415</v>
      </c>
      <c r="G31" s="131">
        <v>2</v>
      </c>
      <c r="H31" s="132"/>
      <c r="I31" s="78">
        <f t="shared" si="7"/>
        <v>1</v>
      </c>
      <c r="J31" s="78">
        <f t="shared" si="8"/>
        <v>415</v>
      </c>
      <c r="K31" s="33"/>
      <c r="L31" s="34"/>
      <c r="M31" s="34"/>
      <c r="N31" s="214" t="str">
        <f t="shared" si="13"/>
        <v>EN ATTENTE</v>
      </c>
      <c r="O31" s="144" t="str">
        <f t="shared" si="14"/>
        <v/>
      </c>
      <c r="P31" s="20">
        <f t="shared" si="15"/>
        <v>0</v>
      </c>
      <c r="Q31" s="35">
        <f>IF(A31&lt;&gt;0,VLOOKUP(A31,Liste!$A$10:$K$59,8,FALSE),"")</f>
        <v>415</v>
      </c>
      <c r="R31" s="33">
        <v>20</v>
      </c>
      <c r="S31" s="33"/>
      <c r="T31" s="33"/>
      <c r="U31" s="33"/>
      <c r="V31" s="33"/>
      <c r="W31" s="33"/>
      <c r="X31" s="33"/>
      <c r="Y31" s="33"/>
      <c r="Z31" s="33"/>
      <c r="AA31" s="33"/>
      <c r="AB31" s="5">
        <f t="shared" si="10"/>
        <v>1</v>
      </c>
      <c r="AC31" s="21">
        <f t="shared" si="11"/>
        <v>0</v>
      </c>
      <c r="AD31" s="21" t="str">
        <f>IF(AC31&gt;3,(SUMIF($H$14:$H$63,A31,$J$14:$J$63)+VLOOKUP(A31,$A$13:AA$63,16+$B$4)),"")</f>
        <v/>
      </c>
      <c r="AE31" s="149">
        <f t="shared" si="12"/>
        <v>18</v>
      </c>
    </row>
    <row r="32" spans="1:31" x14ac:dyDescent="0.25">
      <c r="A32" s="28">
        <v>19</v>
      </c>
      <c r="B32" s="29" t="str">
        <f>IF(A32&lt;&gt;0,VLOOKUP(A32,Liste!$A$10:$D$59,4,FALSE),"")</f>
        <v>BICHEMONT Paul</v>
      </c>
      <c r="C32" s="58">
        <f t="shared" si="16"/>
        <v>0</v>
      </c>
      <c r="D32" s="58">
        <f t="shared" si="4"/>
        <v>0</v>
      </c>
      <c r="E32" s="58">
        <f t="shared" si="5"/>
        <v>0</v>
      </c>
      <c r="F32" s="78">
        <f t="shared" si="6"/>
        <v>480</v>
      </c>
      <c r="G32" s="131">
        <v>3</v>
      </c>
      <c r="H32" s="132"/>
      <c r="I32" s="78">
        <f t="shared" si="7"/>
        <v>1</v>
      </c>
      <c r="J32" s="78">
        <f t="shared" si="8"/>
        <v>480</v>
      </c>
      <c r="K32" s="33"/>
      <c r="L32" s="34"/>
      <c r="M32" s="34"/>
      <c r="N32" s="214" t="str">
        <f t="shared" si="13"/>
        <v>EN ATTENTE</v>
      </c>
      <c r="O32" s="144" t="str">
        <f t="shared" si="14"/>
        <v/>
      </c>
      <c r="P32" s="20">
        <f t="shared" si="15"/>
        <v>0</v>
      </c>
      <c r="Q32" s="35">
        <f>IF(A32&lt;&gt;0,VLOOKUP(A32,Liste!$A$10:$K$59,8,FALSE),"")</f>
        <v>480</v>
      </c>
      <c r="R32" s="33"/>
      <c r="S32" s="33"/>
      <c r="T32" s="33"/>
      <c r="U32" s="33"/>
      <c r="V32" s="33"/>
      <c r="W32" s="33"/>
      <c r="X32" s="33"/>
      <c r="Y32" s="33"/>
      <c r="Z32" s="33"/>
      <c r="AA32" s="33"/>
      <c r="AB32" s="5">
        <f t="shared" si="10"/>
        <v>1</v>
      </c>
      <c r="AC32" s="21">
        <f t="shared" si="11"/>
        <v>0</v>
      </c>
      <c r="AD32" s="21" t="str">
        <f>IF(AC32&gt;3,(SUMIF($H$14:$H$63,A32,$J$14:$J$63)+VLOOKUP(A32,$A$13:AA$63,16+$B$4)),"")</f>
        <v/>
      </c>
      <c r="AE32" s="149">
        <f t="shared" si="12"/>
        <v>19</v>
      </c>
    </row>
    <row r="33" spans="1:31" x14ac:dyDescent="0.25">
      <c r="A33" s="28">
        <v>20</v>
      </c>
      <c r="B33" s="29" t="str">
        <f>IF(A33&lt;&gt;0,VLOOKUP(A33,Liste!$A$10:$D$59,4,FALSE),"")</f>
        <v>CARTON Louis</v>
      </c>
      <c r="C33" s="58">
        <f t="shared" si="16"/>
        <v>0</v>
      </c>
      <c r="D33" s="58">
        <f t="shared" si="4"/>
        <v>0</v>
      </c>
      <c r="E33" s="58">
        <f t="shared" si="5"/>
        <v>0</v>
      </c>
      <c r="F33" s="78">
        <f t="shared" si="6"/>
        <v>445</v>
      </c>
      <c r="G33" s="131">
        <v>1</v>
      </c>
      <c r="H33" s="132">
        <v>5</v>
      </c>
      <c r="I33" s="78">
        <f t="shared" si="7"/>
        <v>1</v>
      </c>
      <c r="J33" s="78">
        <f t="shared" si="8"/>
        <v>445</v>
      </c>
      <c r="K33" s="33"/>
      <c r="L33" s="34"/>
      <c r="M33" s="34"/>
      <c r="N33" s="214" t="str">
        <f t="shared" si="13"/>
        <v>EN ATTENTE</v>
      </c>
      <c r="O33" s="144" t="str">
        <f t="shared" si="14"/>
        <v/>
      </c>
      <c r="P33" s="20">
        <f t="shared" si="15"/>
        <v>0</v>
      </c>
      <c r="Q33" s="35">
        <f>IF(A33&lt;&gt;0,VLOOKUP(A33,Liste!$A$10:$K$59,8,FALSE),"")</f>
        <v>445</v>
      </c>
      <c r="R33" s="33">
        <v>20</v>
      </c>
      <c r="S33" s="33"/>
      <c r="T33" s="33"/>
      <c r="U33" s="33"/>
      <c r="V33" s="33"/>
      <c r="W33" s="33"/>
      <c r="X33" s="33"/>
      <c r="Y33" s="33"/>
      <c r="Z33" s="33"/>
      <c r="AA33" s="33"/>
      <c r="AB33" s="5">
        <f t="shared" si="10"/>
        <v>6</v>
      </c>
      <c r="AC33" s="21">
        <f t="shared" si="11"/>
        <v>3</v>
      </c>
      <c r="AD33" s="21" t="str">
        <f>IF(AC33&gt;3,(SUMIF($H$14:$H$63,A33,$J$14:$J$63)+VLOOKUP(A33,$A$13:AA$63,16+$B$4)),"")</f>
        <v/>
      </c>
      <c r="AE33" s="149">
        <f t="shared" si="12"/>
        <v>5.5</v>
      </c>
    </row>
    <row r="34" spans="1:31" x14ac:dyDescent="0.25">
      <c r="A34" s="28">
        <v>21</v>
      </c>
      <c r="B34" s="29" t="str">
        <f>IF(A34&lt;&gt;0,VLOOKUP(A34,Liste!$A$10:$D$59,4,FALSE),"")</f>
        <v>DAGUILLON Jean-Pierre</v>
      </c>
      <c r="C34" s="58">
        <f t="shared" si="16"/>
        <v>0</v>
      </c>
      <c r="D34" s="58">
        <f t="shared" si="4"/>
        <v>0</v>
      </c>
      <c r="E34" s="58">
        <f t="shared" si="5"/>
        <v>0</v>
      </c>
      <c r="F34" s="78">
        <f t="shared" si="6"/>
        <v>400</v>
      </c>
      <c r="G34" s="131">
        <v>1</v>
      </c>
      <c r="H34" s="132">
        <v>15</v>
      </c>
      <c r="I34" s="78">
        <f t="shared" si="7"/>
        <v>1</v>
      </c>
      <c r="J34" s="78">
        <f t="shared" si="8"/>
        <v>400</v>
      </c>
      <c r="K34" s="33"/>
      <c r="L34" s="34"/>
      <c r="M34" s="34"/>
      <c r="N34" s="214" t="str">
        <f t="shared" si="13"/>
        <v>EN ATTENTE</v>
      </c>
      <c r="O34" s="144" t="str">
        <f t="shared" si="14"/>
        <v/>
      </c>
      <c r="P34" s="20">
        <f t="shared" si="15"/>
        <v>0</v>
      </c>
      <c r="Q34" s="35">
        <f>IF(A34&lt;&gt;0,VLOOKUP(A34,Liste!$A$10:$K$59,8,FALSE),"")</f>
        <v>400</v>
      </c>
      <c r="R34" s="33">
        <v>20</v>
      </c>
      <c r="S34" s="33"/>
      <c r="T34" s="33"/>
      <c r="U34" s="33"/>
      <c r="V34" s="33"/>
      <c r="W34" s="33"/>
      <c r="X34" s="33"/>
      <c r="Y34" s="33"/>
      <c r="Z34" s="33"/>
      <c r="AA34" s="33"/>
      <c r="AB34" s="5">
        <f t="shared" si="10"/>
        <v>16</v>
      </c>
      <c r="AC34" s="21">
        <f t="shared" si="11"/>
        <v>0</v>
      </c>
      <c r="AD34" s="21" t="str">
        <f>IF(AC34&gt;3,(SUMIF($H$14:$H$63,A34,$J$14:$J$63)+VLOOKUP(A34,$A$13:AA$63,16+$B$4)),"")</f>
        <v/>
      </c>
      <c r="AE34" s="149">
        <f t="shared" si="12"/>
        <v>15.5</v>
      </c>
    </row>
    <row r="35" spans="1:31" x14ac:dyDescent="0.25">
      <c r="A35" s="28">
        <v>22</v>
      </c>
      <c r="B35" s="29" t="str">
        <f>IF(A35&lt;&gt;0,VLOOKUP(A35,Liste!$A$10:$D$59,4,FALSE),"")</f>
        <v>FARDIN Sébastin</v>
      </c>
      <c r="C35" s="58">
        <f t="shared" si="16"/>
        <v>0</v>
      </c>
      <c r="D35" s="58">
        <f t="shared" si="4"/>
        <v>0</v>
      </c>
      <c r="E35" s="58">
        <f t="shared" si="5"/>
        <v>0</v>
      </c>
      <c r="F35" s="78">
        <f t="shared" si="6"/>
        <v>0</v>
      </c>
      <c r="G35" s="131"/>
      <c r="H35" s="132"/>
      <c r="I35" s="78">
        <f t="shared" si="7"/>
        <v>0</v>
      </c>
      <c r="J35" s="78">
        <f t="shared" si="8"/>
        <v>0</v>
      </c>
      <c r="K35" s="33"/>
      <c r="L35" s="34"/>
      <c r="M35" s="34"/>
      <c r="N35" s="214" t="str">
        <f t="shared" si="13"/>
        <v/>
      </c>
      <c r="O35" s="144" t="str">
        <f t="shared" si="14"/>
        <v/>
      </c>
      <c r="P35" s="20">
        <f t="shared" si="15"/>
        <v>5</v>
      </c>
      <c r="Q35" s="35">
        <f>IF(A35&lt;&gt;0,VLOOKUP(A35,Liste!$A$10:$K$59,8,FALSE),"")</f>
        <v>380</v>
      </c>
      <c r="R35" s="33">
        <v>30</v>
      </c>
      <c r="S35" s="33"/>
      <c r="T35" s="33"/>
      <c r="U35" s="33"/>
      <c r="V35" s="33"/>
      <c r="W35" s="33"/>
      <c r="X35" s="33"/>
      <c r="Y35" s="33"/>
      <c r="Z35" s="33"/>
      <c r="AA35" s="33"/>
      <c r="AB35" s="5">
        <f t="shared" si="10"/>
        <v>0</v>
      </c>
      <c r="AC35" s="21">
        <f t="shared" si="11"/>
        <v>0</v>
      </c>
      <c r="AD35" s="21" t="str">
        <f>IF(AC35&gt;3,(SUMIF($H$14:$H$63,A35,$J$14:$J$63)+VLOOKUP(A35,$A$13:AA$63,16+$B$4)),"")</f>
        <v/>
      </c>
      <c r="AE35" s="149">
        <f t="shared" si="12"/>
        <v>1000</v>
      </c>
    </row>
    <row r="36" spans="1:31" x14ac:dyDescent="0.25">
      <c r="A36" s="28">
        <v>23</v>
      </c>
      <c r="B36" s="29" t="str">
        <f>IF(A36&lt;&gt;0,VLOOKUP(A36,Liste!$A$10:$D$59,4,FALSE),"")</f>
        <v>SEBARDIN Suzanne</v>
      </c>
      <c r="C36" s="58">
        <f t="shared" si="16"/>
        <v>0</v>
      </c>
      <c r="D36" s="58">
        <f t="shared" si="4"/>
        <v>0</v>
      </c>
      <c r="E36" s="58">
        <f t="shared" si="5"/>
        <v>0</v>
      </c>
      <c r="F36" s="78">
        <f t="shared" si="6"/>
        <v>390</v>
      </c>
      <c r="G36" s="131">
        <v>3</v>
      </c>
      <c r="H36" s="132"/>
      <c r="I36" s="78">
        <f t="shared" si="7"/>
        <v>1</v>
      </c>
      <c r="J36" s="78">
        <f t="shared" si="8"/>
        <v>390</v>
      </c>
      <c r="K36" s="33"/>
      <c r="L36" s="34"/>
      <c r="M36" s="34"/>
      <c r="N36" s="214" t="str">
        <f t="shared" si="13"/>
        <v>EN ATTENTE</v>
      </c>
      <c r="O36" s="144" t="str">
        <f t="shared" si="14"/>
        <v/>
      </c>
      <c r="P36" s="20">
        <f t="shared" si="15"/>
        <v>0</v>
      </c>
      <c r="Q36" s="35">
        <f>IF(A36&lt;&gt;0,VLOOKUP(A36,Liste!$A$10:$K$59,8,FALSE),"")</f>
        <v>390</v>
      </c>
      <c r="R36" s="33"/>
      <c r="S36" s="33"/>
      <c r="T36" s="33"/>
      <c r="U36" s="33"/>
      <c r="V36" s="33"/>
      <c r="W36" s="33"/>
      <c r="X36" s="33"/>
      <c r="Y36" s="33"/>
      <c r="Z36" s="33"/>
      <c r="AA36" s="33"/>
      <c r="AB36" s="5">
        <f t="shared" si="10"/>
        <v>1</v>
      </c>
      <c r="AC36" s="21">
        <f t="shared" si="11"/>
        <v>0</v>
      </c>
      <c r="AD36" s="21" t="str">
        <f>IF(AC36&gt;3,(SUMIF($H$14:$H$63,A36,$J$14:$J$63)+VLOOKUP(A36,$A$13:AA$63,16+$B$4)),"")</f>
        <v/>
      </c>
      <c r="AE36" s="149">
        <f t="shared" si="12"/>
        <v>23</v>
      </c>
    </row>
    <row r="37" spans="1:31" x14ac:dyDescent="0.25">
      <c r="A37" s="28">
        <v>24</v>
      </c>
      <c r="B37" s="29" t="str">
        <f>IF(A37&lt;&gt;0,VLOOKUP(A37,Liste!$A$10:$D$59,4,FALSE),"")</f>
        <v>AUBERT Pierre</v>
      </c>
      <c r="C37" s="58">
        <f t="shared" si="16"/>
        <v>0</v>
      </c>
      <c r="D37" s="58">
        <f t="shared" si="4"/>
        <v>0</v>
      </c>
      <c r="E37" s="58">
        <f t="shared" si="5"/>
        <v>0</v>
      </c>
      <c r="F37" s="78">
        <f t="shared" si="6"/>
        <v>315</v>
      </c>
      <c r="G37" s="131">
        <v>1</v>
      </c>
      <c r="H37" s="132"/>
      <c r="I37" s="78">
        <f t="shared" si="7"/>
        <v>1</v>
      </c>
      <c r="J37" s="78">
        <f t="shared" si="8"/>
        <v>315</v>
      </c>
      <c r="K37" s="33"/>
      <c r="L37" s="34"/>
      <c r="M37" s="34"/>
      <c r="N37" s="214" t="str">
        <f t="shared" si="13"/>
        <v>EN ATTENTE</v>
      </c>
      <c r="O37" s="144" t="str">
        <f t="shared" si="14"/>
        <v/>
      </c>
      <c r="P37" s="20">
        <f t="shared" si="15"/>
        <v>0</v>
      </c>
      <c r="Q37" s="35">
        <f>IF(A37&lt;&gt;0,VLOOKUP(A37,Liste!$A$10:$K$59,8,FALSE),"")</f>
        <v>315</v>
      </c>
      <c r="R37" s="33">
        <v>30</v>
      </c>
      <c r="S37" s="33"/>
      <c r="T37" s="33"/>
      <c r="U37" s="33"/>
      <c r="V37" s="33"/>
      <c r="W37" s="33"/>
      <c r="X37" s="33"/>
      <c r="Y37" s="33"/>
      <c r="Z37" s="33"/>
      <c r="AA37" s="33"/>
      <c r="AB37" s="5">
        <f t="shared" si="10"/>
        <v>1</v>
      </c>
      <c r="AC37" s="21">
        <f t="shared" si="11"/>
        <v>0</v>
      </c>
      <c r="AD37" s="21" t="str">
        <f>IF(AC37&gt;3,(SUMIF($H$14:$H$63,A37,$J$14:$J$63)+VLOOKUP(A37,$A$13:AA$63,16+$B$4)),"")</f>
        <v/>
      </c>
      <c r="AE37" s="149">
        <f t="shared" si="12"/>
        <v>24</v>
      </c>
    </row>
    <row r="38" spans="1:31" x14ac:dyDescent="0.25">
      <c r="A38" s="28">
        <v>25</v>
      </c>
      <c r="B38" s="29" t="str">
        <f>IF(A38&lt;&gt;0,VLOOKUP(A38,Liste!$A$10:$D$59,4,FALSE),"")</f>
        <v>WEBER Jean Pierre</v>
      </c>
      <c r="C38" s="58">
        <f t="shared" si="16"/>
        <v>0</v>
      </c>
      <c r="D38" s="58">
        <f t="shared" si="4"/>
        <v>0</v>
      </c>
      <c r="E38" s="58">
        <f t="shared" si="5"/>
        <v>0</v>
      </c>
      <c r="F38" s="78">
        <f t="shared" si="6"/>
        <v>480</v>
      </c>
      <c r="G38" s="131">
        <v>1</v>
      </c>
      <c r="H38" s="132">
        <v>5</v>
      </c>
      <c r="I38" s="78">
        <f t="shared" si="7"/>
        <v>1</v>
      </c>
      <c r="J38" s="78">
        <f t="shared" si="8"/>
        <v>480</v>
      </c>
      <c r="K38" s="33"/>
      <c r="L38" s="34"/>
      <c r="M38" s="34"/>
      <c r="N38" s="214" t="str">
        <f t="shared" si="13"/>
        <v>EN ATTENTE</v>
      </c>
      <c r="O38" s="144" t="str">
        <f t="shared" si="14"/>
        <v/>
      </c>
      <c r="P38" s="20">
        <f t="shared" si="15"/>
        <v>0</v>
      </c>
      <c r="Q38" s="35">
        <f>IF(A38&lt;&gt;0,VLOOKUP(A38,Liste!$A$10:$K$59,8,FALSE),"")</f>
        <v>480</v>
      </c>
      <c r="R38" s="33">
        <v>60</v>
      </c>
      <c r="S38" s="33"/>
      <c r="T38" s="33"/>
      <c r="U38" s="33"/>
      <c r="V38" s="33"/>
      <c r="W38" s="33"/>
      <c r="X38" s="33"/>
      <c r="Y38" s="33"/>
      <c r="Z38" s="33"/>
      <c r="AA38" s="33"/>
      <c r="AB38" s="5">
        <f t="shared" si="10"/>
        <v>6</v>
      </c>
      <c r="AC38" s="21">
        <f t="shared" si="11"/>
        <v>0</v>
      </c>
      <c r="AD38" s="21" t="str">
        <f>IF(AC38&gt;3,(SUMIF($H$14:$H$63,A38,$J$14:$J$63)+VLOOKUP(A38,$A$13:AA$63,16+$B$4)),"")</f>
        <v/>
      </c>
      <c r="AE38" s="149">
        <f t="shared" si="12"/>
        <v>5.5</v>
      </c>
    </row>
    <row r="39" spans="1:31" x14ac:dyDescent="0.25">
      <c r="A39" s="28">
        <v>26</v>
      </c>
      <c r="B39" s="29">
        <f>IF(A39&lt;&gt;0,VLOOKUP(A39,Liste!$A$10:$D$59,4,FALSE),"")</f>
        <v>0</v>
      </c>
      <c r="C39" s="58"/>
      <c r="D39" s="58">
        <f t="shared" si="4"/>
        <v>0</v>
      </c>
      <c r="E39" s="58">
        <f t="shared" si="5"/>
        <v>0</v>
      </c>
      <c r="F39" s="78">
        <f t="shared" si="6"/>
        <v>0</v>
      </c>
      <c r="G39" s="131"/>
      <c r="H39" s="132"/>
      <c r="I39" s="78">
        <f t="shared" si="7"/>
        <v>0</v>
      </c>
      <c r="J39" s="78">
        <f t="shared" si="8"/>
        <v>0</v>
      </c>
      <c r="K39" s="33"/>
      <c r="L39" s="34"/>
      <c r="M39" s="34"/>
      <c r="N39" s="214" t="str">
        <f t="shared" si="13"/>
        <v/>
      </c>
      <c r="O39" s="144" t="str">
        <f t="shared" si="14"/>
        <v/>
      </c>
      <c r="P39" s="20">
        <f t="shared" si="15"/>
        <v>5</v>
      </c>
      <c r="Q39" s="35" t="str">
        <f>IF(A39&lt;&gt;0,VLOOKUP(A39,Liste!$A$10:$K$59,8,FALSE),"")</f>
        <v/>
      </c>
      <c r="R39" s="33"/>
      <c r="S39" s="30"/>
      <c r="T39" s="30"/>
      <c r="U39" s="30"/>
      <c r="V39" s="30"/>
      <c r="W39" s="30"/>
      <c r="X39" s="30"/>
      <c r="Y39" s="30"/>
      <c r="Z39" s="30"/>
      <c r="AA39" s="30"/>
      <c r="AB39" s="5">
        <f t="shared" si="10"/>
        <v>0</v>
      </c>
      <c r="AC39" s="21">
        <f t="shared" si="11"/>
        <v>0</v>
      </c>
      <c r="AD39" s="21" t="str">
        <f>IF(AC39&gt;3,(SUMIF($H$14:$H$63,A39,$J$14:$J$63)+VLOOKUP(A39,$A$13:AA$63,16+$B$4)),"")</f>
        <v/>
      </c>
      <c r="AE39" s="149">
        <f t="shared" si="12"/>
        <v>1000</v>
      </c>
    </row>
    <row r="40" spans="1:31" x14ac:dyDescent="0.25">
      <c r="A40" s="28">
        <v>27</v>
      </c>
      <c r="B40" s="29">
        <f>IF(A40&lt;&gt;0,VLOOKUP(A40,Liste!$A$10:$D$59,4,FALSE),"")</f>
        <v>0</v>
      </c>
      <c r="C40" s="58">
        <f t="shared" ref="C40:C64" si="17">F40*(K40=1)</f>
        <v>0</v>
      </c>
      <c r="D40" s="58">
        <f t="shared" si="4"/>
        <v>0</v>
      </c>
      <c r="E40" s="58">
        <f t="shared" si="5"/>
        <v>0</v>
      </c>
      <c r="F40" s="78">
        <f t="shared" si="6"/>
        <v>0</v>
      </c>
      <c r="G40" s="131"/>
      <c r="H40" s="132"/>
      <c r="I40" s="78">
        <f t="shared" si="7"/>
        <v>0</v>
      </c>
      <c r="J40" s="78">
        <f t="shared" si="8"/>
        <v>0</v>
      </c>
      <c r="K40" s="33"/>
      <c r="L40" s="34"/>
      <c r="M40" s="34"/>
      <c r="N40" s="214" t="str">
        <f t="shared" si="13"/>
        <v/>
      </c>
      <c r="O40" s="144" t="str">
        <f t="shared" si="14"/>
        <v/>
      </c>
      <c r="P40" s="20">
        <f t="shared" si="15"/>
        <v>5</v>
      </c>
      <c r="Q40" s="35" t="str">
        <f>IF(A40&lt;&gt;0,VLOOKUP(A40,Liste!$A$10:$K$59,8,FALSE),"")</f>
        <v/>
      </c>
      <c r="R40" s="33"/>
      <c r="S40" s="30"/>
      <c r="T40" s="30"/>
      <c r="U40" s="30"/>
      <c r="V40" s="30"/>
      <c r="W40" s="30"/>
      <c r="X40" s="30"/>
      <c r="Y40" s="30"/>
      <c r="Z40" s="30"/>
      <c r="AA40" s="30"/>
      <c r="AB40" s="5">
        <f t="shared" si="10"/>
        <v>0</v>
      </c>
      <c r="AC40" s="21">
        <f t="shared" si="11"/>
        <v>0</v>
      </c>
      <c r="AD40" s="21" t="str">
        <f>IF(AC40&gt;3,(SUMIF($H$14:$H$63,A40,$J$14:$J$63)+VLOOKUP(A40,$A$13:AA$63,16+$B$4)),"")</f>
        <v/>
      </c>
      <c r="AE40" s="149">
        <f t="shared" si="12"/>
        <v>1000</v>
      </c>
    </row>
    <row r="41" spans="1:31" x14ac:dyDescent="0.25">
      <c r="A41" s="28">
        <v>28</v>
      </c>
      <c r="B41" s="29">
        <f>IF(A41&lt;&gt;0,VLOOKUP(A41,Liste!$A$10:$D$59,4,FALSE),"")</f>
        <v>0</v>
      </c>
      <c r="C41" s="58">
        <f t="shared" si="17"/>
        <v>0</v>
      </c>
      <c r="D41" s="58">
        <f t="shared" si="4"/>
        <v>0</v>
      </c>
      <c r="E41" s="58">
        <f t="shared" si="5"/>
        <v>0</v>
      </c>
      <c r="F41" s="78">
        <f t="shared" si="6"/>
        <v>0</v>
      </c>
      <c r="G41" s="131"/>
      <c r="H41" s="132"/>
      <c r="I41" s="78">
        <f t="shared" si="7"/>
        <v>0</v>
      </c>
      <c r="J41" s="78">
        <f t="shared" si="8"/>
        <v>0</v>
      </c>
      <c r="K41" s="33"/>
      <c r="L41" s="34"/>
      <c r="M41" s="34"/>
      <c r="N41" s="214" t="str">
        <f t="shared" si="13"/>
        <v/>
      </c>
      <c r="O41" s="144" t="str">
        <f t="shared" si="14"/>
        <v/>
      </c>
      <c r="P41" s="20">
        <f t="shared" si="15"/>
        <v>5</v>
      </c>
      <c r="Q41" s="35" t="str">
        <f>IF(A41&lt;&gt;0,VLOOKUP(A41,Liste!$A$10:$K$59,8,FALSE),"")</f>
        <v/>
      </c>
      <c r="R41" s="33"/>
      <c r="S41" s="30"/>
      <c r="T41" s="30"/>
      <c r="U41" s="30"/>
      <c r="V41" s="30"/>
      <c r="W41" s="30"/>
      <c r="X41" s="30"/>
      <c r="Y41" s="30"/>
      <c r="Z41" s="30"/>
      <c r="AA41" s="30"/>
      <c r="AB41" s="5">
        <f t="shared" si="10"/>
        <v>0</v>
      </c>
      <c r="AC41" s="21">
        <f t="shared" si="11"/>
        <v>0</v>
      </c>
      <c r="AD41" s="21" t="str">
        <f>IF(AC41&gt;3,(SUMIF($H$14:$H$63,A41,$J$14:$J$63)+VLOOKUP(A41,$A$13:AA$63,16+$B$4)),"")</f>
        <v/>
      </c>
      <c r="AE41" s="149">
        <f t="shared" si="12"/>
        <v>1000</v>
      </c>
    </row>
    <row r="42" spans="1:31" x14ac:dyDescent="0.25">
      <c r="A42" s="28">
        <v>29</v>
      </c>
      <c r="B42" s="29">
        <f>IF(A42&lt;&gt;0,VLOOKUP(A42,Liste!$A$10:$D$59,4,FALSE),"")</f>
        <v>0</v>
      </c>
      <c r="C42" s="58">
        <f t="shared" si="17"/>
        <v>0</v>
      </c>
      <c r="D42" s="58">
        <f t="shared" si="4"/>
        <v>0</v>
      </c>
      <c r="E42" s="58">
        <f t="shared" si="5"/>
        <v>0</v>
      </c>
      <c r="F42" s="78">
        <f t="shared" si="6"/>
        <v>0</v>
      </c>
      <c r="G42" s="131"/>
      <c r="H42" s="132"/>
      <c r="I42" s="78">
        <f t="shared" si="7"/>
        <v>0</v>
      </c>
      <c r="J42" s="78">
        <f t="shared" si="8"/>
        <v>0</v>
      </c>
      <c r="K42" s="33"/>
      <c r="L42" s="34"/>
      <c r="M42" s="34"/>
      <c r="N42" s="214" t="str">
        <f t="shared" si="13"/>
        <v/>
      </c>
      <c r="O42" s="144" t="str">
        <f t="shared" si="14"/>
        <v/>
      </c>
      <c r="P42" s="20">
        <f t="shared" si="15"/>
        <v>5</v>
      </c>
      <c r="Q42" s="35" t="str">
        <f>IF(A42&lt;&gt;0,VLOOKUP(A42,Liste!$A$10:$K$59,8,FALSE),"")</f>
        <v/>
      </c>
      <c r="R42" s="33"/>
      <c r="S42" s="33"/>
      <c r="T42" s="33"/>
      <c r="U42" s="33"/>
      <c r="V42" s="33"/>
      <c r="W42" s="33"/>
      <c r="X42" s="33"/>
      <c r="Y42" s="33"/>
      <c r="Z42" s="33"/>
      <c r="AA42" s="33"/>
      <c r="AB42" s="5">
        <f t="shared" si="10"/>
        <v>0</v>
      </c>
      <c r="AC42" s="21">
        <f t="shared" si="11"/>
        <v>0</v>
      </c>
      <c r="AD42" s="21" t="str">
        <f>IF(AC42&gt;3,(SUMIF($H$14:$H$63,A42,$J$14:$J$63)+VLOOKUP(A42,$A$13:AA$63,16+$B$4)),"")</f>
        <v/>
      </c>
      <c r="AE42" s="149">
        <f t="shared" si="12"/>
        <v>1000</v>
      </c>
    </row>
    <row r="43" spans="1:31" x14ac:dyDescent="0.25">
      <c r="A43" s="28">
        <v>30</v>
      </c>
      <c r="B43" s="29">
        <f>IF(A43&lt;&gt;0,VLOOKUP(A43,Liste!$A$10:$D$59,4,FALSE),"")</f>
        <v>0</v>
      </c>
      <c r="C43" s="58">
        <f t="shared" si="17"/>
        <v>0</v>
      </c>
      <c r="D43" s="58">
        <f t="shared" si="4"/>
        <v>0</v>
      </c>
      <c r="E43" s="58">
        <f t="shared" si="5"/>
        <v>0</v>
      </c>
      <c r="F43" s="78">
        <f t="shared" si="6"/>
        <v>0</v>
      </c>
      <c r="G43" s="131"/>
      <c r="H43" s="132"/>
      <c r="I43" s="78">
        <f t="shared" si="7"/>
        <v>0</v>
      </c>
      <c r="J43" s="78">
        <f t="shared" si="8"/>
        <v>0</v>
      </c>
      <c r="K43" s="33"/>
      <c r="L43" s="34"/>
      <c r="M43" s="34"/>
      <c r="N43" s="214" t="str">
        <f t="shared" si="13"/>
        <v/>
      </c>
      <c r="O43" s="144" t="str">
        <f t="shared" si="14"/>
        <v/>
      </c>
      <c r="P43" s="20">
        <f t="shared" si="15"/>
        <v>5</v>
      </c>
      <c r="Q43" s="35" t="str">
        <f>IF(A43&lt;&gt;0,VLOOKUP(A43,Liste!$A$10:$K$59,8,FALSE),"")</f>
        <v/>
      </c>
      <c r="R43" s="33"/>
      <c r="S43" s="33"/>
      <c r="T43" s="33"/>
      <c r="U43" s="33"/>
      <c r="V43" s="33"/>
      <c r="W43" s="33"/>
      <c r="X43" s="33"/>
      <c r="Y43" s="33"/>
      <c r="Z43" s="33"/>
      <c r="AA43" s="33"/>
      <c r="AB43" s="5">
        <f t="shared" si="10"/>
        <v>0</v>
      </c>
      <c r="AC43" s="21">
        <f t="shared" si="11"/>
        <v>0</v>
      </c>
      <c r="AD43" s="21" t="str">
        <f>IF(AC43&gt;3,(SUMIF($H$14:$H$63,A43,$J$14:$J$63)+VLOOKUP(A43,$A$13:AA$63,16+$B$4)),"")</f>
        <v/>
      </c>
      <c r="AE43" s="149">
        <f t="shared" si="12"/>
        <v>1000</v>
      </c>
    </row>
    <row r="44" spans="1:31" x14ac:dyDescent="0.25">
      <c r="A44" s="28">
        <v>31</v>
      </c>
      <c r="B44" s="29">
        <f>IF(A44&lt;&gt;0,VLOOKUP(A44,Liste!$A$10:$D$59,4,FALSE),"")</f>
        <v>0</v>
      </c>
      <c r="C44" s="58">
        <f t="shared" si="17"/>
        <v>0</v>
      </c>
      <c r="D44" s="58">
        <f t="shared" si="4"/>
        <v>0</v>
      </c>
      <c r="E44" s="58">
        <f t="shared" si="5"/>
        <v>0</v>
      </c>
      <c r="F44" s="78">
        <f t="shared" si="6"/>
        <v>0</v>
      </c>
      <c r="G44" s="131"/>
      <c r="H44" s="132"/>
      <c r="I44" s="78">
        <f t="shared" si="7"/>
        <v>0</v>
      </c>
      <c r="J44" s="78">
        <f t="shared" si="8"/>
        <v>0</v>
      </c>
      <c r="K44" s="33"/>
      <c r="L44" s="34"/>
      <c r="M44" s="34"/>
      <c r="N44" s="214" t="str">
        <f t="shared" si="13"/>
        <v/>
      </c>
      <c r="O44" s="144" t="str">
        <f t="shared" si="14"/>
        <v/>
      </c>
      <c r="P44" s="20">
        <f t="shared" si="15"/>
        <v>5</v>
      </c>
      <c r="Q44" s="35" t="str">
        <f>IF(A44&lt;&gt;0,VLOOKUP(A44,Liste!$A$10:$K$59,8,FALSE),"")</f>
        <v/>
      </c>
      <c r="R44" s="33"/>
      <c r="S44" s="33"/>
      <c r="T44" s="33"/>
      <c r="U44" s="33"/>
      <c r="V44" s="33"/>
      <c r="W44" s="33"/>
      <c r="X44" s="33"/>
      <c r="Y44" s="33"/>
      <c r="Z44" s="33"/>
      <c r="AA44" s="33"/>
      <c r="AB44" s="5">
        <f t="shared" si="10"/>
        <v>0</v>
      </c>
      <c r="AC44" s="21">
        <f t="shared" si="11"/>
        <v>0</v>
      </c>
      <c r="AD44" s="21" t="str">
        <f>IF(AC44&gt;3,(SUMIF($H$14:$H$63,A44,$J$14:$J$63)+VLOOKUP(A44,$A$13:AA$63,16+$B$4)),"")</f>
        <v/>
      </c>
      <c r="AE44" s="149">
        <f t="shared" si="12"/>
        <v>1000</v>
      </c>
    </row>
    <row r="45" spans="1:31" x14ac:dyDescent="0.25">
      <c r="A45" s="28">
        <v>32</v>
      </c>
      <c r="B45" s="29">
        <f>IF(A45&lt;&gt;0,VLOOKUP(A45,Liste!$A$10:$D$59,4,FALSE),"")</f>
        <v>0</v>
      </c>
      <c r="C45" s="58">
        <f t="shared" si="17"/>
        <v>0</v>
      </c>
      <c r="D45" s="58">
        <f t="shared" si="4"/>
        <v>0</v>
      </c>
      <c r="E45" s="58">
        <f t="shared" si="5"/>
        <v>0</v>
      </c>
      <c r="F45" s="78">
        <f t="shared" si="6"/>
        <v>0</v>
      </c>
      <c r="G45" s="131"/>
      <c r="H45" s="132"/>
      <c r="I45" s="78">
        <f t="shared" si="7"/>
        <v>0</v>
      </c>
      <c r="J45" s="78">
        <f t="shared" si="8"/>
        <v>0</v>
      </c>
      <c r="K45" s="33"/>
      <c r="L45" s="34"/>
      <c r="M45" s="34"/>
      <c r="N45" s="214" t="str">
        <f t="shared" si="13"/>
        <v/>
      </c>
      <c r="O45" s="144" t="str">
        <f t="shared" si="14"/>
        <v/>
      </c>
      <c r="P45" s="20">
        <f t="shared" si="15"/>
        <v>5</v>
      </c>
      <c r="Q45" s="35" t="str">
        <f>IF(A45&lt;&gt;0,VLOOKUP(A45,Liste!$A$10:$K$59,8,FALSE),"")</f>
        <v/>
      </c>
      <c r="R45" s="33"/>
      <c r="S45" s="33"/>
      <c r="T45" s="33"/>
      <c r="U45" s="33"/>
      <c r="V45" s="33"/>
      <c r="W45" s="33"/>
      <c r="X45" s="33"/>
      <c r="Y45" s="33"/>
      <c r="Z45" s="33"/>
      <c r="AA45" s="33"/>
      <c r="AB45" s="5">
        <f t="shared" si="10"/>
        <v>0</v>
      </c>
      <c r="AC45" s="21">
        <f t="shared" si="11"/>
        <v>0</v>
      </c>
      <c r="AD45" s="21" t="str">
        <f>IF(AC45&gt;3,(SUMIF($H$14:$H$63,A45,$J$14:$J$63)+VLOOKUP(A45,$A$13:AA$63,16+$B$4)),"")</f>
        <v/>
      </c>
      <c r="AE45" s="149">
        <f t="shared" si="12"/>
        <v>1000</v>
      </c>
    </row>
    <row r="46" spans="1:31" x14ac:dyDescent="0.25">
      <c r="A46" s="28">
        <v>33</v>
      </c>
      <c r="B46" s="29">
        <f>IF(A46&lt;&gt;0,VLOOKUP(A46,Liste!$A$10:$D$59,4,FALSE),"")</f>
        <v>0</v>
      </c>
      <c r="C46" s="58">
        <f t="shared" si="17"/>
        <v>0</v>
      </c>
      <c r="D46" s="58">
        <f t="shared" ref="D46:D64" si="18">F46*(L46=1)</f>
        <v>0</v>
      </c>
      <c r="E46" s="58">
        <f t="shared" ref="E46:E64" si="19">F46*(M46=1)</f>
        <v>0</v>
      </c>
      <c r="F46" s="78">
        <f t="shared" ref="F46:F63" si="20">IF(I46=1,VLOOKUP(A46,$A$14:$AA$63,16+$B$4,0),0)</f>
        <v>0</v>
      </c>
      <c r="G46" s="131"/>
      <c r="H46" s="132"/>
      <c r="I46" s="78">
        <f t="shared" ref="I46:I62" si="21">1*(IF(G46&gt;0,VLOOKUP(A46,$A$14:$AA$63,16+$B$4,0)&gt;0))</f>
        <v>0</v>
      </c>
      <c r="J46" s="78">
        <f t="shared" ref="J46:J64" si="22">IF(F46&gt;0,F46,0)</f>
        <v>0</v>
      </c>
      <c r="K46" s="33"/>
      <c r="L46" s="34"/>
      <c r="M46" s="34"/>
      <c r="N46" s="214" t="str">
        <f t="shared" si="13"/>
        <v/>
      </c>
      <c r="O46" s="144" t="str">
        <f t="shared" si="14"/>
        <v/>
      </c>
      <c r="P46" s="20">
        <f t="shared" si="15"/>
        <v>5</v>
      </c>
      <c r="Q46" s="35" t="str">
        <f>IF(A46&lt;&gt;0,VLOOKUP(A46,Liste!$A$10:$K$59,8,FALSE),"")</f>
        <v/>
      </c>
      <c r="R46" s="33"/>
      <c r="S46" s="33"/>
      <c r="T46" s="33"/>
      <c r="U46" s="33"/>
      <c r="V46" s="33"/>
      <c r="W46" s="33"/>
      <c r="X46" s="33"/>
      <c r="Y46" s="33"/>
      <c r="Z46" s="33"/>
      <c r="AA46" s="33"/>
      <c r="AB46" s="5">
        <f t="shared" ref="AB46:AB64" si="23">(H46+I46)*(J46&gt;0)</f>
        <v>0</v>
      </c>
      <c r="AC46" s="21">
        <f t="shared" ref="AC46:AC63" si="24">COUNTIF($H$14:$H$63,A46)</f>
        <v>0</v>
      </c>
      <c r="AD46" s="21" t="str">
        <f>IF(AC46&gt;3,(SUMIF($H$14:$H$63,A46,$J$14:$J$63)+VLOOKUP(A46,$A$13:AA$63,16+$B$4)),"")</f>
        <v/>
      </c>
      <c r="AE46" s="149">
        <f t="shared" ref="AE46:AE63" si="25">IF(H46&gt;0,H46+0.5*(I46=1),A46*(I46=1))+(1000*(I46&lt;1))</f>
        <v>1000</v>
      </c>
    </row>
    <row r="47" spans="1:31" x14ac:dyDescent="0.25">
      <c r="A47" s="28">
        <v>34</v>
      </c>
      <c r="B47" s="29">
        <f>IF(A47&lt;&gt;0,VLOOKUP(A47,Liste!$A$10:$D$59,4,FALSE),"")</f>
        <v>0</v>
      </c>
      <c r="C47" s="58">
        <f t="shared" si="17"/>
        <v>0</v>
      </c>
      <c r="D47" s="58">
        <f t="shared" si="18"/>
        <v>0</v>
      </c>
      <c r="E47" s="58">
        <f t="shared" si="19"/>
        <v>0</v>
      </c>
      <c r="F47" s="78">
        <f t="shared" si="20"/>
        <v>0</v>
      </c>
      <c r="G47" s="131"/>
      <c r="H47" s="132"/>
      <c r="I47" s="78">
        <f t="shared" si="21"/>
        <v>0</v>
      </c>
      <c r="J47" s="78">
        <f t="shared" si="22"/>
        <v>0</v>
      </c>
      <c r="K47" s="33"/>
      <c r="L47" s="34"/>
      <c r="M47" s="34"/>
      <c r="N47" s="214" t="str">
        <f t="shared" si="13"/>
        <v/>
      </c>
      <c r="O47" s="144" t="str">
        <f t="shared" si="14"/>
        <v/>
      </c>
      <c r="P47" s="20">
        <f t="shared" si="15"/>
        <v>5</v>
      </c>
      <c r="Q47" s="35" t="str">
        <f>IF(A47&lt;&gt;0,VLOOKUP(A47,Liste!$A$10:$K$59,8,FALSE),"")</f>
        <v/>
      </c>
      <c r="R47" s="33"/>
      <c r="S47" s="33"/>
      <c r="T47" s="33"/>
      <c r="U47" s="33"/>
      <c r="V47" s="33"/>
      <c r="W47" s="33"/>
      <c r="X47" s="33"/>
      <c r="Y47" s="33"/>
      <c r="Z47" s="33"/>
      <c r="AA47" s="33"/>
      <c r="AB47" s="5">
        <f t="shared" si="23"/>
        <v>0</v>
      </c>
      <c r="AC47" s="21">
        <f t="shared" si="24"/>
        <v>0</v>
      </c>
      <c r="AD47" s="21" t="str">
        <f>IF(AC47&gt;3,(SUMIF($H$14:$H$63,A47,$J$14:$J$63)+VLOOKUP(A47,$A$13:AA$63,16+$B$4)),"")</f>
        <v/>
      </c>
      <c r="AE47" s="149">
        <f t="shared" si="25"/>
        <v>1000</v>
      </c>
    </row>
    <row r="48" spans="1:31" x14ac:dyDescent="0.25">
      <c r="A48" s="28">
        <v>35</v>
      </c>
      <c r="B48" s="29">
        <f>IF(A48&lt;&gt;0,VLOOKUP(A48,Liste!$A$10:$D$59,4,FALSE),"")</f>
        <v>0</v>
      </c>
      <c r="C48" s="58">
        <f t="shared" si="17"/>
        <v>0</v>
      </c>
      <c r="D48" s="58">
        <f t="shared" si="18"/>
        <v>0</v>
      </c>
      <c r="E48" s="58">
        <f t="shared" si="19"/>
        <v>0</v>
      </c>
      <c r="F48" s="78">
        <f t="shared" si="20"/>
        <v>0</v>
      </c>
      <c r="G48" s="131"/>
      <c r="H48" s="132"/>
      <c r="I48" s="78">
        <f t="shared" si="21"/>
        <v>0</v>
      </c>
      <c r="J48" s="78">
        <f t="shared" si="22"/>
        <v>0</v>
      </c>
      <c r="K48" s="33"/>
      <c r="L48" s="34"/>
      <c r="M48" s="34"/>
      <c r="N48" s="214" t="str">
        <f t="shared" si="13"/>
        <v/>
      </c>
      <c r="O48" s="144" t="str">
        <f t="shared" si="14"/>
        <v/>
      </c>
      <c r="P48" s="20">
        <f t="shared" si="15"/>
        <v>5</v>
      </c>
      <c r="Q48" s="35" t="str">
        <f>IF(A48&lt;&gt;0,VLOOKUP(A48,Liste!$A$10:$K$59,8,FALSE),"")</f>
        <v/>
      </c>
      <c r="R48" s="33"/>
      <c r="S48" s="33"/>
      <c r="T48" s="33"/>
      <c r="U48" s="33"/>
      <c r="V48" s="33"/>
      <c r="W48" s="33"/>
      <c r="X48" s="33"/>
      <c r="Y48" s="33"/>
      <c r="Z48" s="33"/>
      <c r="AA48" s="33"/>
      <c r="AB48" s="5">
        <f t="shared" si="23"/>
        <v>0</v>
      </c>
      <c r="AC48" s="21">
        <f t="shared" si="24"/>
        <v>0</v>
      </c>
      <c r="AD48" s="21" t="str">
        <f>IF(AC48&gt;3,(SUMIF($H$14:$H$63,A48,$J$14:$J$63)+VLOOKUP(A48,$A$13:AA$63,16+$B$4)),"")</f>
        <v/>
      </c>
      <c r="AE48" s="149">
        <f t="shared" si="25"/>
        <v>1000</v>
      </c>
    </row>
    <row r="49" spans="1:31" x14ac:dyDescent="0.25">
      <c r="A49" s="28">
        <v>36</v>
      </c>
      <c r="B49" s="29">
        <f>IF(A49&lt;&gt;0,VLOOKUP(A49,Liste!$A$10:$D$59,4,FALSE),"")</f>
        <v>0</v>
      </c>
      <c r="C49" s="58">
        <f t="shared" si="17"/>
        <v>0</v>
      </c>
      <c r="D49" s="58">
        <f t="shared" si="18"/>
        <v>0</v>
      </c>
      <c r="E49" s="58">
        <f t="shared" si="19"/>
        <v>0</v>
      </c>
      <c r="F49" s="78">
        <f t="shared" si="20"/>
        <v>0</v>
      </c>
      <c r="G49" s="131"/>
      <c r="H49" s="132"/>
      <c r="I49" s="78">
        <f t="shared" si="21"/>
        <v>0</v>
      </c>
      <c r="J49" s="78">
        <f t="shared" si="22"/>
        <v>0</v>
      </c>
      <c r="K49" s="33"/>
      <c r="L49" s="34"/>
      <c r="M49" s="34"/>
      <c r="N49" s="214" t="str">
        <f t="shared" si="13"/>
        <v/>
      </c>
      <c r="O49" s="144" t="str">
        <f t="shared" si="14"/>
        <v/>
      </c>
      <c r="P49" s="20">
        <f t="shared" si="15"/>
        <v>5</v>
      </c>
      <c r="Q49" s="35" t="str">
        <f>IF(A49&lt;&gt;0,VLOOKUP(A49,Liste!$A$10:$K$59,8,FALSE),"")</f>
        <v/>
      </c>
      <c r="R49" s="33"/>
      <c r="S49" s="33"/>
      <c r="T49" s="33"/>
      <c r="U49" s="33"/>
      <c r="V49" s="33"/>
      <c r="W49" s="33"/>
      <c r="X49" s="33"/>
      <c r="Y49" s="33"/>
      <c r="Z49" s="33"/>
      <c r="AA49" s="33"/>
      <c r="AB49" s="5">
        <f t="shared" si="23"/>
        <v>0</v>
      </c>
      <c r="AC49" s="21">
        <f t="shared" si="24"/>
        <v>0</v>
      </c>
      <c r="AD49" s="21" t="str">
        <f>IF(AC49&gt;3,(SUMIF($H$14:$H$63,A49,$J$14:$J$63)+VLOOKUP(A49,$A$13:AA$63,16+$B$4)),"")</f>
        <v/>
      </c>
      <c r="AE49" s="149">
        <f t="shared" si="25"/>
        <v>1000</v>
      </c>
    </row>
    <row r="50" spans="1:31" x14ac:dyDescent="0.25">
      <c r="A50" s="28">
        <v>37</v>
      </c>
      <c r="B50" s="29">
        <f>IF(A50&lt;&gt;0,VLOOKUP(A50,Liste!$A$10:$D$59,4,FALSE),"")</f>
        <v>0</v>
      </c>
      <c r="C50" s="58">
        <f t="shared" si="17"/>
        <v>0</v>
      </c>
      <c r="D50" s="58">
        <f t="shared" si="18"/>
        <v>0</v>
      </c>
      <c r="E50" s="58">
        <f t="shared" si="19"/>
        <v>0</v>
      </c>
      <c r="F50" s="78">
        <f t="shared" si="20"/>
        <v>0</v>
      </c>
      <c r="G50" s="131"/>
      <c r="H50" s="132"/>
      <c r="I50" s="78">
        <f t="shared" si="21"/>
        <v>0</v>
      </c>
      <c r="J50" s="78">
        <f t="shared" si="22"/>
        <v>0</v>
      </c>
      <c r="K50" s="33"/>
      <c r="L50" s="34"/>
      <c r="M50" s="34"/>
      <c r="N50" s="214" t="str">
        <f t="shared" si="13"/>
        <v/>
      </c>
      <c r="O50" s="144" t="str">
        <f t="shared" si="14"/>
        <v/>
      </c>
      <c r="P50" s="20">
        <f t="shared" si="15"/>
        <v>5</v>
      </c>
      <c r="Q50" s="35" t="str">
        <f>IF(A50&lt;&gt;0,VLOOKUP(A50,Liste!$A$10:$K$59,8,FALSE),"")</f>
        <v/>
      </c>
      <c r="R50" s="33"/>
      <c r="S50" s="33"/>
      <c r="T50" s="33"/>
      <c r="U50" s="33"/>
      <c r="V50" s="33"/>
      <c r="W50" s="33"/>
      <c r="X50" s="33"/>
      <c r="Y50" s="33"/>
      <c r="Z50" s="33"/>
      <c r="AA50" s="33"/>
      <c r="AB50" s="5">
        <f t="shared" si="23"/>
        <v>0</v>
      </c>
      <c r="AC50" s="21">
        <f t="shared" si="24"/>
        <v>0</v>
      </c>
      <c r="AD50" s="21" t="str">
        <f>IF(AC50&gt;3,(SUMIF($H$14:$H$63,A50,$J$14:$J$63)+VLOOKUP(A50,$A$13:AA$63,16+$B$4)),"")</f>
        <v/>
      </c>
      <c r="AE50" s="149">
        <f t="shared" si="25"/>
        <v>1000</v>
      </c>
    </row>
    <row r="51" spans="1:31" x14ac:dyDescent="0.25">
      <c r="A51" s="28">
        <v>38</v>
      </c>
      <c r="B51" s="29">
        <f>IF(A51&lt;&gt;0,VLOOKUP(A51,Liste!$A$10:$D$59,4,FALSE),"")</f>
        <v>0</v>
      </c>
      <c r="C51" s="58">
        <f t="shared" si="17"/>
        <v>0</v>
      </c>
      <c r="D51" s="58">
        <f t="shared" si="18"/>
        <v>0</v>
      </c>
      <c r="E51" s="58">
        <f t="shared" si="19"/>
        <v>0</v>
      </c>
      <c r="F51" s="78">
        <f t="shared" si="20"/>
        <v>0</v>
      </c>
      <c r="G51" s="131"/>
      <c r="H51" s="132"/>
      <c r="I51" s="78">
        <f t="shared" si="21"/>
        <v>0</v>
      </c>
      <c r="J51" s="78">
        <f t="shared" si="22"/>
        <v>0</v>
      </c>
      <c r="K51" s="33"/>
      <c r="L51" s="34"/>
      <c r="M51" s="34"/>
      <c r="N51" s="214" t="str">
        <f t="shared" si="13"/>
        <v/>
      </c>
      <c r="O51" s="144" t="str">
        <f t="shared" si="14"/>
        <v/>
      </c>
      <c r="P51" s="20">
        <f t="shared" si="15"/>
        <v>5</v>
      </c>
      <c r="Q51" s="35" t="str">
        <f>IF(A51&lt;&gt;0,VLOOKUP(A51,Liste!$A$10:$K$59,8,FALSE),"")</f>
        <v/>
      </c>
      <c r="R51" s="33"/>
      <c r="S51" s="33"/>
      <c r="T51" s="33"/>
      <c r="U51" s="33"/>
      <c r="V51" s="33"/>
      <c r="W51" s="33"/>
      <c r="X51" s="33"/>
      <c r="Y51" s="33"/>
      <c r="Z51" s="33"/>
      <c r="AA51" s="33"/>
      <c r="AB51" s="5">
        <f t="shared" si="23"/>
        <v>0</v>
      </c>
      <c r="AC51" s="21">
        <f t="shared" si="24"/>
        <v>0</v>
      </c>
      <c r="AD51" s="21" t="str">
        <f>IF(AC51&gt;3,(SUMIF($H$14:$H$63,A51,$J$14:$J$63)+VLOOKUP(A51,$A$13:AA$63,16+$B$4)),"")</f>
        <v/>
      </c>
      <c r="AE51" s="149">
        <f t="shared" si="25"/>
        <v>1000</v>
      </c>
    </row>
    <row r="52" spans="1:31" x14ac:dyDescent="0.25">
      <c r="A52" s="28">
        <v>39</v>
      </c>
      <c r="B52" s="29">
        <f>IF(A52&lt;&gt;0,VLOOKUP(A52,Liste!$A$10:$D$59,4,FALSE),"")</f>
        <v>0</v>
      </c>
      <c r="C52" s="58">
        <f t="shared" si="17"/>
        <v>0</v>
      </c>
      <c r="D52" s="58">
        <f t="shared" si="18"/>
        <v>0</v>
      </c>
      <c r="E52" s="58">
        <f t="shared" si="19"/>
        <v>0</v>
      </c>
      <c r="F52" s="78">
        <f t="shared" si="20"/>
        <v>0</v>
      </c>
      <c r="G52" s="131"/>
      <c r="H52" s="132"/>
      <c r="I52" s="78">
        <f t="shared" si="21"/>
        <v>0</v>
      </c>
      <c r="J52" s="78">
        <f t="shared" si="22"/>
        <v>0</v>
      </c>
      <c r="K52" s="33"/>
      <c r="L52" s="34"/>
      <c r="M52" s="34"/>
      <c r="N52" s="214" t="str">
        <f t="shared" si="13"/>
        <v/>
      </c>
      <c r="O52" s="144" t="str">
        <f t="shared" si="14"/>
        <v/>
      </c>
      <c r="P52" s="20">
        <f t="shared" si="15"/>
        <v>5</v>
      </c>
      <c r="Q52" s="35" t="str">
        <f>IF(A52&lt;&gt;0,VLOOKUP(A52,Liste!$A$10:$K$59,8,FALSE),"")</f>
        <v/>
      </c>
      <c r="R52" s="33"/>
      <c r="S52" s="33"/>
      <c r="T52" s="33"/>
      <c r="U52" s="33"/>
      <c r="V52" s="33"/>
      <c r="W52" s="33"/>
      <c r="X52" s="33"/>
      <c r="Y52" s="33"/>
      <c r="Z52" s="33"/>
      <c r="AA52" s="33"/>
      <c r="AB52" s="5">
        <f t="shared" si="23"/>
        <v>0</v>
      </c>
      <c r="AC52" s="21">
        <f t="shared" si="24"/>
        <v>0</v>
      </c>
      <c r="AD52" s="21" t="str">
        <f>IF(AC52&gt;3,(SUMIF($H$14:$H$63,A52,$J$14:$J$63)+VLOOKUP(A52,$A$13:AA$63,16+$B$4)),"")</f>
        <v/>
      </c>
      <c r="AE52" s="149">
        <f t="shared" si="25"/>
        <v>1000</v>
      </c>
    </row>
    <row r="53" spans="1:31" x14ac:dyDescent="0.25">
      <c r="A53" s="28">
        <v>40</v>
      </c>
      <c r="B53" s="29">
        <f>IF(A53&lt;&gt;0,VLOOKUP(A53,Liste!$A$10:$D$59,4,FALSE),"")</f>
        <v>0</v>
      </c>
      <c r="C53" s="58">
        <f t="shared" si="17"/>
        <v>0</v>
      </c>
      <c r="D53" s="58">
        <f t="shared" si="18"/>
        <v>0</v>
      </c>
      <c r="E53" s="58">
        <f t="shared" si="19"/>
        <v>0</v>
      </c>
      <c r="F53" s="78">
        <f t="shared" si="20"/>
        <v>0</v>
      </c>
      <c r="G53" s="131"/>
      <c r="H53" s="132"/>
      <c r="I53" s="78">
        <f t="shared" si="21"/>
        <v>0</v>
      </c>
      <c r="J53" s="78">
        <f t="shared" si="22"/>
        <v>0</v>
      </c>
      <c r="K53" s="33"/>
      <c r="L53" s="34"/>
      <c r="M53" s="34"/>
      <c r="N53" s="214" t="str">
        <f t="shared" si="13"/>
        <v/>
      </c>
      <c r="O53" s="144" t="str">
        <f t="shared" si="14"/>
        <v/>
      </c>
      <c r="P53" s="20">
        <f t="shared" si="15"/>
        <v>5</v>
      </c>
      <c r="Q53" s="35" t="str">
        <f>IF(A53&lt;&gt;0,VLOOKUP(A53,Liste!$A$10:$K$59,8,FALSE),"")</f>
        <v/>
      </c>
      <c r="R53" s="33"/>
      <c r="S53" s="33"/>
      <c r="T53" s="33"/>
      <c r="U53" s="33"/>
      <c r="V53" s="33"/>
      <c r="W53" s="33"/>
      <c r="X53" s="33"/>
      <c r="Y53" s="33"/>
      <c r="Z53" s="33"/>
      <c r="AA53" s="33"/>
      <c r="AB53" s="5">
        <f t="shared" si="23"/>
        <v>0</v>
      </c>
      <c r="AC53" s="21">
        <f t="shared" si="24"/>
        <v>0</v>
      </c>
      <c r="AD53" s="21" t="str">
        <f>IF(AC53&gt;3,(SUMIF($H$14:$H$63,A53,$J$14:$J$63)+VLOOKUP(A53,$A$13:AA$63,16+$B$4)),"")</f>
        <v/>
      </c>
      <c r="AE53" s="149">
        <f t="shared" si="25"/>
        <v>1000</v>
      </c>
    </row>
    <row r="54" spans="1:31" x14ac:dyDescent="0.25">
      <c r="A54" s="28">
        <v>41</v>
      </c>
      <c r="B54" s="29">
        <f>IF(A54&lt;&gt;0,VLOOKUP(A54,Liste!$A$10:$D$59,4,FALSE),"")</f>
        <v>0</v>
      </c>
      <c r="C54" s="58">
        <f t="shared" si="17"/>
        <v>0</v>
      </c>
      <c r="D54" s="58">
        <f t="shared" si="18"/>
        <v>0</v>
      </c>
      <c r="E54" s="58">
        <f t="shared" si="19"/>
        <v>0</v>
      </c>
      <c r="F54" s="78">
        <f t="shared" si="20"/>
        <v>0</v>
      </c>
      <c r="G54" s="131"/>
      <c r="H54" s="132"/>
      <c r="I54" s="78">
        <f t="shared" si="21"/>
        <v>0</v>
      </c>
      <c r="J54" s="78">
        <f t="shared" si="22"/>
        <v>0</v>
      </c>
      <c r="K54" s="33"/>
      <c r="L54" s="34"/>
      <c r="M54" s="34"/>
      <c r="N54" s="214" t="str">
        <f t="shared" si="13"/>
        <v/>
      </c>
      <c r="O54" s="144" t="str">
        <f t="shared" si="14"/>
        <v/>
      </c>
      <c r="P54" s="20">
        <f t="shared" si="15"/>
        <v>5</v>
      </c>
      <c r="Q54" s="35" t="str">
        <f>IF(A54&lt;&gt;0,VLOOKUP(A54,Liste!$A$10:$K$59,8,FALSE),"")</f>
        <v/>
      </c>
      <c r="R54" s="33"/>
      <c r="S54" s="33"/>
      <c r="T54" s="33"/>
      <c r="U54" s="33"/>
      <c r="V54" s="33"/>
      <c r="W54" s="33"/>
      <c r="X54" s="33"/>
      <c r="Y54" s="33"/>
      <c r="Z54" s="33"/>
      <c r="AA54" s="33"/>
      <c r="AB54" s="5">
        <f t="shared" si="23"/>
        <v>0</v>
      </c>
      <c r="AC54" s="21">
        <f t="shared" si="24"/>
        <v>0</v>
      </c>
      <c r="AD54" s="21" t="str">
        <f>IF(AC54&gt;3,(SUMIF($H$14:$H$63,A54,$J$14:$J$63)+VLOOKUP(A54,$A$13:AA$63,16+$B$4)),"")</f>
        <v/>
      </c>
      <c r="AE54" s="149">
        <f t="shared" si="25"/>
        <v>1000</v>
      </c>
    </row>
    <row r="55" spans="1:31" x14ac:dyDescent="0.25">
      <c r="A55" s="28">
        <v>42</v>
      </c>
      <c r="B55" s="29">
        <f>IF(A55&lt;&gt;0,VLOOKUP(A55,Liste!$A$10:$D$59,4,FALSE),"")</f>
        <v>0</v>
      </c>
      <c r="C55" s="58">
        <f t="shared" si="17"/>
        <v>0</v>
      </c>
      <c r="D55" s="58">
        <f t="shared" si="18"/>
        <v>0</v>
      </c>
      <c r="E55" s="58">
        <f t="shared" si="19"/>
        <v>0</v>
      </c>
      <c r="F55" s="78">
        <f t="shared" si="20"/>
        <v>0</v>
      </c>
      <c r="G55" s="131"/>
      <c r="H55" s="132"/>
      <c r="I55" s="78">
        <f t="shared" si="21"/>
        <v>0</v>
      </c>
      <c r="J55" s="78">
        <f t="shared" si="22"/>
        <v>0</v>
      </c>
      <c r="K55" s="33"/>
      <c r="L55" s="34"/>
      <c r="M55" s="34"/>
      <c r="N55" s="214" t="str">
        <f t="shared" si="13"/>
        <v/>
      </c>
      <c r="O55" s="144" t="str">
        <f t="shared" si="14"/>
        <v/>
      </c>
      <c r="P55" s="20">
        <f t="shared" si="15"/>
        <v>5</v>
      </c>
      <c r="Q55" s="35" t="str">
        <f>IF(A55&lt;&gt;0,VLOOKUP(A55,Liste!$A$10:$K$59,8,FALSE),"")</f>
        <v/>
      </c>
      <c r="R55" s="33"/>
      <c r="S55" s="33"/>
      <c r="T55" s="33"/>
      <c r="U55" s="33"/>
      <c r="V55" s="33"/>
      <c r="W55" s="33"/>
      <c r="X55" s="33"/>
      <c r="Y55" s="33"/>
      <c r="Z55" s="33"/>
      <c r="AA55" s="33"/>
      <c r="AB55" s="5">
        <f t="shared" si="23"/>
        <v>0</v>
      </c>
      <c r="AC55" s="21">
        <f t="shared" si="24"/>
        <v>0</v>
      </c>
      <c r="AD55" s="21" t="str">
        <f>IF(AC55&gt;3,(SUMIF($H$14:$H$63,A55,$J$14:$J$63)+VLOOKUP(A55,$A$13:AA$63,16+$B$4)),"")</f>
        <v/>
      </c>
      <c r="AE55" s="149">
        <f t="shared" si="25"/>
        <v>1000</v>
      </c>
    </row>
    <row r="56" spans="1:31" x14ac:dyDescent="0.25">
      <c r="A56" s="28">
        <v>43</v>
      </c>
      <c r="B56" s="29">
        <f>IF(A56&lt;&gt;0,VLOOKUP(A56,Liste!$A$10:$D$59,4,FALSE),"")</f>
        <v>0</v>
      </c>
      <c r="C56" s="58">
        <f t="shared" si="17"/>
        <v>0</v>
      </c>
      <c r="D56" s="58">
        <f t="shared" si="18"/>
        <v>0</v>
      </c>
      <c r="E56" s="58">
        <f t="shared" si="19"/>
        <v>0</v>
      </c>
      <c r="F56" s="78">
        <f t="shared" si="20"/>
        <v>0</v>
      </c>
      <c r="G56" s="131"/>
      <c r="H56" s="132"/>
      <c r="I56" s="78">
        <f t="shared" si="21"/>
        <v>0</v>
      </c>
      <c r="J56" s="78">
        <f t="shared" si="22"/>
        <v>0</v>
      </c>
      <c r="K56" s="33"/>
      <c r="L56" s="34"/>
      <c r="M56" s="34"/>
      <c r="N56" s="214" t="str">
        <f t="shared" si="13"/>
        <v/>
      </c>
      <c r="O56" s="144" t="str">
        <f t="shared" si="14"/>
        <v/>
      </c>
      <c r="P56" s="20">
        <f t="shared" si="15"/>
        <v>5</v>
      </c>
      <c r="Q56" s="35" t="str">
        <f>IF(A56&lt;&gt;0,VLOOKUP(A56,Liste!$A$10:$K$59,8,FALSE),"")</f>
        <v/>
      </c>
      <c r="R56" s="33"/>
      <c r="S56" s="33"/>
      <c r="T56" s="33"/>
      <c r="U56" s="33"/>
      <c r="V56" s="33"/>
      <c r="W56" s="33"/>
      <c r="X56" s="33"/>
      <c r="Y56" s="33"/>
      <c r="Z56" s="33"/>
      <c r="AA56" s="33"/>
      <c r="AB56" s="5">
        <f t="shared" si="23"/>
        <v>0</v>
      </c>
      <c r="AC56" s="21">
        <f t="shared" si="24"/>
        <v>0</v>
      </c>
      <c r="AD56" s="21" t="str">
        <f>IF(AC56&gt;3,(SUMIF($H$14:$H$63,A56,$J$14:$J$63)+VLOOKUP(A56,$A$13:AA$63,16+$B$4)),"")</f>
        <v/>
      </c>
      <c r="AE56" s="149">
        <f t="shared" si="25"/>
        <v>1000</v>
      </c>
    </row>
    <row r="57" spans="1:31" x14ac:dyDescent="0.25">
      <c r="A57" s="28">
        <v>44</v>
      </c>
      <c r="B57" s="29">
        <f>IF(A57&lt;&gt;0,VLOOKUP(A57,Liste!$A$10:$D$59,4,FALSE),"")</f>
        <v>0</v>
      </c>
      <c r="C57" s="58">
        <f t="shared" si="17"/>
        <v>0</v>
      </c>
      <c r="D57" s="58">
        <f t="shared" si="18"/>
        <v>0</v>
      </c>
      <c r="E57" s="58">
        <f t="shared" si="19"/>
        <v>0</v>
      </c>
      <c r="F57" s="78">
        <f t="shared" si="20"/>
        <v>0</v>
      </c>
      <c r="G57" s="131"/>
      <c r="H57" s="132"/>
      <c r="I57" s="78">
        <f t="shared" si="21"/>
        <v>0</v>
      </c>
      <c r="J57" s="78">
        <f t="shared" si="22"/>
        <v>0</v>
      </c>
      <c r="K57" s="33"/>
      <c r="L57" s="34"/>
      <c r="M57" s="34"/>
      <c r="N57" s="214" t="str">
        <f t="shared" si="13"/>
        <v/>
      </c>
      <c r="O57" s="144" t="str">
        <f t="shared" si="14"/>
        <v/>
      </c>
      <c r="P57" s="20">
        <f t="shared" si="15"/>
        <v>5</v>
      </c>
      <c r="Q57" s="35" t="str">
        <f>IF(A57&lt;&gt;0,VLOOKUP(A57,Liste!$A$10:$K$59,8,FALSE),"")</f>
        <v/>
      </c>
      <c r="R57" s="33"/>
      <c r="S57" s="33"/>
      <c r="T57" s="33"/>
      <c r="U57" s="33"/>
      <c r="V57" s="33"/>
      <c r="W57" s="33"/>
      <c r="X57" s="33"/>
      <c r="Y57" s="33"/>
      <c r="Z57" s="33"/>
      <c r="AA57" s="33"/>
      <c r="AB57" s="5">
        <f t="shared" si="23"/>
        <v>0</v>
      </c>
      <c r="AC57" s="21">
        <f t="shared" si="24"/>
        <v>0</v>
      </c>
      <c r="AD57" s="21" t="str">
        <f>IF(AC57&gt;3,(SUMIF($H$14:$H$63,A57,$J$14:$J$63)+VLOOKUP(A57,$A$13:AA$63,16+$B$4)),"")</f>
        <v/>
      </c>
      <c r="AE57" s="149">
        <f t="shared" si="25"/>
        <v>1000</v>
      </c>
    </row>
    <row r="58" spans="1:31" x14ac:dyDescent="0.25">
      <c r="A58" s="28">
        <v>45</v>
      </c>
      <c r="B58" s="29">
        <f>IF(A58&lt;&gt;0,VLOOKUP(A58,Liste!$A$10:$D$59,4,FALSE),"")</f>
        <v>0</v>
      </c>
      <c r="C58" s="58">
        <f t="shared" si="17"/>
        <v>0</v>
      </c>
      <c r="D58" s="58">
        <f t="shared" si="18"/>
        <v>0</v>
      </c>
      <c r="E58" s="58">
        <f t="shared" si="19"/>
        <v>0</v>
      </c>
      <c r="F58" s="78">
        <f t="shared" si="20"/>
        <v>0</v>
      </c>
      <c r="G58" s="131"/>
      <c r="H58" s="132"/>
      <c r="I58" s="78">
        <f t="shared" si="21"/>
        <v>0</v>
      </c>
      <c r="J58" s="78">
        <f t="shared" si="22"/>
        <v>0</v>
      </c>
      <c r="K58" s="33"/>
      <c r="L58" s="34"/>
      <c r="M58" s="34"/>
      <c r="N58" s="214" t="str">
        <f t="shared" si="13"/>
        <v/>
      </c>
      <c r="O58" s="144" t="str">
        <f t="shared" si="14"/>
        <v/>
      </c>
      <c r="P58" s="20">
        <f t="shared" si="15"/>
        <v>5</v>
      </c>
      <c r="Q58" s="35" t="str">
        <f>IF(A58&lt;&gt;0,VLOOKUP(A58,Liste!$A$10:$K$59,8,FALSE),"")</f>
        <v/>
      </c>
      <c r="R58" s="33"/>
      <c r="S58" s="33"/>
      <c r="T58" s="33"/>
      <c r="U58" s="33"/>
      <c r="V58" s="33"/>
      <c r="W58" s="33"/>
      <c r="X58" s="33"/>
      <c r="Y58" s="33"/>
      <c r="Z58" s="33"/>
      <c r="AA58" s="33"/>
      <c r="AB58" s="5">
        <f t="shared" si="23"/>
        <v>0</v>
      </c>
      <c r="AC58" s="21">
        <f t="shared" si="24"/>
        <v>0</v>
      </c>
      <c r="AD58" s="21" t="str">
        <f>IF(AC58&gt;3,(SUMIF($H$14:$H$63,A58,$J$14:$J$63)+VLOOKUP(A58,$A$13:AA$63,16+$B$4)),"")</f>
        <v/>
      </c>
      <c r="AE58" s="149">
        <f t="shared" si="25"/>
        <v>1000</v>
      </c>
    </row>
    <row r="59" spans="1:31" x14ac:dyDescent="0.25">
      <c r="A59" s="28">
        <v>46</v>
      </c>
      <c r="B59" s="29">
        <f>IF(A59&lt;&gt;0,VLOOKUP(A59,Liste!$A$10:$D$59,4,FALSE),"")</f>
        <v>0</v>
      </c>
      <c r="C59" s="58">
        <f t="shared" si="17"/>
        <v>0</v>
      </c>
      <c r="D59" s="58">
        <f t="shared" si="18"/>
        <v>0</v>
      </c>
      <c r="E59" s="58">
        <f t="shared" si="19"/>
        <v>0</v>
      </c>
      <c r="F59" s="78">
        <f t="shared" si="20"/>
        <v>0</v>
      </c>
      <c r="G59" s="131"/>
      <c r="H59" s="132"/>
      <c r="I59" s="78">
        <f t="shared" si="21"/>
        <v>0</v>
      </c>
      <c r="J59" s="78">
        <f t="shared" si="22"/>
        <v>0</v>
      </c>
      <c r="K59" s="33"/>
      <c r="L59" s="34"/>
      <c r="M59" s="34"/>
      <c r="N59" s="214" t="str">
        <f t="shared" si="13"/>
        <v/>
      </c>
      <c r="O59" s="144" t="str">
        <f t="shared" si="14"/>
        <v/>
      </c>
      <c r="P59" s="20">
        <f t="shared" si="15"/>
        <v>5</v>
      </c>
      <c r="Q59" s="35" t="str">
        <f>IF(A59&lt;&gt;0,VLOOKUP(A59,Liste!$A$10:$K$59,8,FALSE),"")</f>
        <v/>
      </c>
      <c r="R59" s="33"/>
      <c r="S59" s="33"/>
      <c r="T59" s="33"/>
      <c r="U59" s="33"/>
      <c r="V59" s="33"/>
      <c r="W59" s="33"/>
      <c r="X59" s="33"/>
      <c r="Y59" s="33"/>
      <c r="Z59" s="33"/>
      <c r="AA59" s="33"/>
      <c r="AB59" s="5">
        <f t="shared" si="23"/>
        <v>0</v>
      </c>
      <c r="AC59" s="21">
        <f t="shared" si="24"/>
        <v>0</v>
      </c>
      <c r="AD59" s="21" t="str">
        <f>IF(AC59&gt;3,(SUMIF($H$14:$H$63,A59,$J$14:$J$63)+VLOOKUP(A59,$A$13:AA$63,16+$B$4)),"")</f>
        <v/>
      </c>
      <c r="AE59" s="149">
        <f t="shared" si="25"/>
        <v>1000</v>
      </c>
    </row>
    <row r="60" spans="1:31" x14ac:dyDescent="0.25">
      <c r="A60" s="28">
        <v>47</v>
      </c>
      <c r="B60" s="29">
        <f>IF(A60&lt;&gt;0,VLOOKUP(A60,Liste!$A$10:$D$59,4,FALSE),"")</f>
        <v>0</v>
      </c>
      <c r="C60" s="58">
        <f t="shared" si="17"/>
        <v>0</v>
      </c>
      <c r="D60" s="58">
        <f t="shared" si="18"/>
        <v>0</v>
      </c>
      <c r="E60" s="58">
        <f t="shared" si="19"/>
        <v>0</v>
      </c>
      <c r="F60" s="78">
        <f t="shared" si="20"/>
        <v>0</v>
      </c>
      <c r="G60" s="131"/>
      <c r="H60" s="132"/>
      <c r="I60" s="78">
        <f t="shared" si="21"/>
        <v>0</v>
      </c>
      <c r="J60" s="78">
        <f t="shared" si="22"/>
        <v>0</v>
      </c>
      <c r="K60" s="33"/>
      <c r="L60" s="34"/>
      <c r="M60" s="34"/>
      <c r="N60" s="214" t="str">
        <f t="shared" si="13"/>
        <v/>
      </c>
      <c r="O60" s="144" t="str">
        <f t="shared" si="14"/>
        <v/>
      </c>
      <c r="P60" s="20">
        <f t="shared" si="15"/>
        <v>5</v>
      </c>
      <c r="Q60" s="35" t="str">
        <f>IF(A60&lt;&gt;0,VLOOKUP(A60,Liste!$A$10:$K$59,8,FALSE),"")</f>
        <v/>
      </c>
      <c r="R60" s="33"/>
      <c r="S60" s="33"/>
      <c r="T60" s="33"/>
      <c r="U60" s="33"/>
      <c r="V60" s="33"/>
      <c r="W60" s="33"/>
      <c r="X60" s="33"/>
      <c r="Y60" s="33"/>
      <c r="Z60" s="33"/>
      <c r="AA60" s="33"/>
      <c r="AB60" s="5">
        <f t="shared" si="23"/>
        <v>0</v>
      </c>
      <c r="AC60" s="21">
        <f t="shared" si="24"/>
        <v>0</v>
      </c>
      <c r="AD60" s="21" t="str">
        <f>IF(AC60&gt;3,(SUMIF($H$14:$H$63,A60,$J$14:$J$63)+VLOOKUP(A60,$A$13:AA$63,16+$B$4)),"")</f>
        <v/>
      </c>
      <c r="AE60" s="149">
        <f t="shared" si="25"/>
        <v>1000</v>
      </c>
    </row>
    <row r="61" spans="1:31" x14ac:dyDescent="0.25">
      <c r="A61" s="28">
        <v>48</v>
      </c>
      <c r="B61" s="29">
        <f>IF(A61&lt;&gt;0,VLOOKUP(A61,Liste!$A$10:$D$59,4,FALSE),"")</f>
        <v>0</v>
      </c>
      <c r="C61" s="58">
        <f t="shared" si="17"/>
        <v>0</v>
      </c>
      <c r="D61" s="58">
        <f t="shared" si="18"/>
        <v>0</v>
      </c>
      <c r="E61" s="58">
        <f t="shared" si="19"/>
        <v>0</v>
      </c>
      <c r="F61" s="78">
        <f t="shared" si="20"/>
        <v>0</v>
      </c>
      <c r="G61" s="131"/>
      <c r="H61" s="132"/>
      <c r="I61" s="78">
        <f t="shared" si="21"/>
        <v>0</v>
      </c>
      <c r="J61" s="78">
        <f t="shared" si="22"/>
        <v>0</v>
      </c>
      <c r="K61" s="33"/>
      <c r="L61" s="34"/>
      <c r="M61" s="34"/>
      <c r="N61" s="214" t="str">
        <f t="shared" si="13"/>
        <v/>
      </c>
      <c r="O61" s="144" t="str">
        <f t="shared" si="14"/>
        <v/>
      </c>
      <c r="P61" s="20">
        <f t="shared" si="15"/>
        <v>5</v>
      </c>
      <c r="Q61" s="35" t="str">
        <f>IF(A61&lt;&gt;0,VLOOKUP(A61,Liste!$A$10:$K$59,8,FALSE),"")</f>
        <v/>
      </c>
      <c r="R61" s="33"/>
      <c r="S61" s="33"/>
      <c r="T61" s="33"/>
      <c r="U61" s="33"/>
      <c r="V61" s="33"/>
      <c r="W61" s="33"/>
      <c r="X61" s="33"/>
      <c r="Y61" s="33"/>
      <c r="Z61" s="33"/>
      <c r="AA61" s="33"/>
      <c r="AB61" s="5">
        <f t="shared" si="23"/>
        <v>0</v>
      </c>
      <c r="AC61" s="21">
        <f t="shared" si="24"/>
        <v>0</v>
      </c>
      <c r="AD61" s="21" t="str">
        <f>IF(AC61&gt;3,(SUMIF($H$14:$H$63,A61,$J$14:$J$63)+VLOOKUP(A61,$A$13:AA$63,16+$B$4)),"")</f>
        <v/>
      </c>
      <c r="AE61" s="149">
        <f t="shared" si="25"/>
        <v>1000</v>
      </c>
    </row>
    <row r="62" spans="1:31" x14ac:dyDescent="0.25">
      <c r="A62" s="28">
        <v>49</v>
      </c>
      <c r="B62" s="29">
        <f>IF(A62&lt;&gt;0,VLOOKUP(A62,Liste!$A$10:$D$59,4,FALSE),"")</f>
        <v>0</v>
      </c>
      <c r="C62" s="58">
        <f t="shared" si="17"/>
        <v>0</v>
      </c>
      <c r="D62" s="58">
        <f t="shared" si="18"/>
        <v>0</v>
      </c>
      <c r="E62" s="58">
        <f t="shared" si="19"/>
        <v>0</v>
      </c>
      <c r="F62" s="78">
        <f t="shared" si="20"/>
        <v>0</v>
      </c>
      <c r="G62" s="131"/>
      <c r="H62" s="132"/>
      <c r="I62" s="78">
        <f t="shared" si="21"/>
        <v>0</v>
      </c>
      <c r="J62" s="78">
        <f t="shared" si="22"/>
        <v>0</v>
      </c>
      <c r="K62" s="33"/>
      <c r="L62" s="34"/>
      <c r="M62" s="34"/>
      <c r="N62" s="214" t="str">
        <f t="shared" si="13"/>
        <v/>
      </c>
      <c r="O62" s="144" t="str">
        <f t="shared" si="14"/>
        <v/>
      </c>
      <c r="P62" s="20">
        <f t="shared" si="15"/>
        <v>5</v>
      </c>
      <c r="Q62" s="35" t="str">
        <f>IF(A62&lt;&gt;0,VLOOKUP(A62,Liste!$A$10:$K$59,8,FALSE),"")</f>
        <v/>
      </c>
      <c r="R62" s="33"/>
      <c r="S62" s="33"/>
      <c r="T62" s="33"/>
      <c r="U62" s="33"/>
      <c r="V62" s="33"/>
      <c r="W62" s="33"/>
      <c r="X62" s="33"/>
      <c r="Y62" s="33"/>
      <c r="Z62" s="33"/>
      <c r="AA62" s="33"/>
      <c r="AB62" s="5">
        <f t="shared" si="23"/>
        <v>0</v>
      </c>
      <c r="AC62" s="21">
        <f t="shared" si="24"/>
        <v>0</v>
      </c>
      <c r="AD62" s="21" t="str">
        <f>IF(AC62&gt;3,(SUMIF($H$14:$H$63,A62,$J$14:$J$63)+VLOOKUP(A62,$A$13:AA$63,16+$B$4)),"")</f>
        <v/>
      </c>
      <c r="AE62" s="149">
        <f t="shared" si="25"/>
        <v>1000</v>
      </c>
    </row>
    <row r="63" spans="1:31" x14ac:dyDescent="0.25">
      <c r="A63" s="28">
        <v>50</v>
      </c>
      <c r="B63" s="29">
        <f>IF(A63&lt;&gt;0,VLOOKUP(A63,Liste!$A$10:$D$59,4,FALSE),"")</f>
        <v>0</v>
      </c>
      <c r="C63" s="58">
        <f t="shared" si="17"/>
        <v>0</v>
      </c>
      <c r="D63" s="58">
        <f t="shared" si="18"/>
        <v>0</v>
      </c>
      <c r="E63" s="58">
        <f t="shared" si="19"/>
        <v>0</v>
      </c>
      <c r="F63" s="78">
        <f t="shared" si="20"/>
        <v>0</v>
      </c>
      <c r="G63" s="131"/>
      <c r="H63" s="132"/>
      <c r="I63" s="78">
        <f>1*(IF(G63=1,VLOOKUP(A63,$A$14:$AA$63,16+$B$4,0)&gt;0))</f>
        <v>0</v>
      </c>
      <c r="J63" s="78">
        <f t="shared" si="22"/>
        <v>0</v>
      </c>
      <c r="K63" s="33"/>
      <c r="L63" s="34"/>
      <c r="M63" s="34"/>
      <c r="N63" s="214" t="str">
        <f t="shared" si="13"/>
        <v/>
      </c>
      <c r="O63" s="144" t="str">
        <f t="shared" si="14"/>
        <v/>
      </c>
      <c r="P63" s="20">
        <f t="shared" si="15"/>
        <v>5</v>
      </c>
      <c r="Q63" s="35" t="str">
        <f>IF(A63&lt;&gt;0,VLOOKUP(A63,Liste!$A$10:$K$59,8,FALSE),"")</f>
        <v/>
      </c>
      <c r="R63" s="33"/>
      <c r="S63" s="33"/>
      <c r="T63" s="33"/>
      <c r="U63" s="33"/>
      <c r="V63" s="33"/>
      <c r="W63" s="33"/>
      <c r="X63" s="33"/>
      <c r="Y63" s="33"/>
      <c r="Z63" s="33"/>
      <c r="AA63" s="33"/>
      <c r="AB63" s="5">
        <f t="shared" si="23"/>
        <v>0</v>
      </c>
      <c r="AC63" s="21">
        <f t="shared" si="24"/>
        <v>0</v>
      </c>
      <c r="AD63" s="21" t="str">
        <f>IF(AC63&gt;3,(SUMIF($H$14:$H$63,A63,$J$14:$J$63)+VLOOKUP(A63,$A$13:AA$63,16+$B$4)),"")</f>
        <v/>
      </c>
      <c r="AE63" s="149">
        <f t="shared" si="25"/>
        <v>1000</v>
      </c>
    </row>
    <row r="64" spans="1:31" x14ac:dyDescent="0.25">
      <c r="C64" s="55">
        <f t="shared" si="17"/>
        <v>0</v>
      </c>
      <c r="D64" s="55">
        <f t="shared" si="18"/>
        <v>0</v>
      </c>
      <c r="E64" s="55">
        <f t="shared" si="19"/>
        <v>0</v>
      </c>
      <c r="F64" s="100"/>
      <c r="I64" s="55">
        <f>1*(IF(G64=1,VLOOKUP(A64,$A$14:$AA$63,16+$B$4,0)&gt;0))</f>
        <v>0</v>
      </c>
      <c r="J64" s="55">
        <f t="shared" si="22"/>
        <v>0</v>
      </c>
      <c r="K64" s="156"/>
      <c r="L64" s="157">
        <f t="shared" ref="L64" si="26">IF(AND(I64=1,H64&gt;0),VLOOKUP(H64,$A$6:$M$63,12,FALSE),0)</f>
        <v>0</v>
      </c>
      <c r="M64" s="159">
        <f>IF(I64=1,1-K64-L64,0)</f>
        <v>0</v>
      </c>
      <c r="N64" s="158" t="str">
        <f>IF(L64+M64&lt;=1,"","FAUX")</f>
        <v/>
      </c>
      <c r="P64" s="101" t="str">
        <f>IF(I64=1,K64*(K64=1)+L64*2*(L64=1)+M64*3*(M64=1),"")</f>
        <v/>
      </c>
      <c r="AB64" s="5">
        <f t="shared" si="23"/>
        <v>0</v>
      </c>
    </row>
    <row r="65" spans="6:10" x14ac:dyDescent="0.25">
      <c r="F65" s="100"/>
    </row>
    <row r="69" spans="6:10" x14ac:dyDescent="0.25">
      <c r="I69"/>
      <c r="J69"/>
    </row>
    <row r="70" spans="6:10" x14ac:dyDescent="0.25">
      <c r="I70"/>
      <c r="J70"/>
    </row>
    <row r="71" spans="6:10" x14ac:dyDescent="0.25">
      <c r="I71"/>
      <c r="J71"/>
    </row>
    <row r="72" spans="6:10" x14ac:dyDescent="0.25">
      <c r="I72"/>
      <c r="J72"/>
    </row>
    <row r="73" spans="6:10" x14ac:dyDescent="0.25">
      <c r="I73"/>
      <c r="J73"/>
    </row>
    <row r="74" spans="6:10" x14ac:dyDescent="0.25">
      <c r="I74"/>
      <c r="J74"/>
    </row>
    <row r="75" spans="6:10" x14ac:dyDescent="0.25">
      <c r="I75"/>
      <c r="J75"/>
    </row>
    <row r="76" spans="6:10" x14ac:dyDescent="0.25">
      <c r="I76"/>
      <c r="J76"/>
    </row>
    <row r="77" spans="6:10" x14ac:dyDescent="0.25">
      <c r="I77"/>
      <c r="J77"/>
    </row>
    <row r="78" spans="6:10" x14ac:dyDescent="0.25">
      <c r="I78"/>
      <c r="J78"/>
    </row>
    <row r="79" spans="6:10" x14ac:dyDescent="0.25">
      <c r="I79"/>
      <c r="J79"/>
    </row>
    <row r="80" spans="6:10" x14ac:dyDescent="0.25">
      <c r="I80"/>
      <c r="J80"/>
    </row>
    <row r="81" spans="9:10" x14ac:dyDescent="0.25">
      <c r="I81"/>
      <c r="J81"/>
    </row>
    <row r="82" spans="9:10" x14ac:dyDescent="0.25">
      <c r="I82"/>
      <c r="J82"/>
    </row>
    <row r="83" spans="9:10" x14ac:dyDescent="0.25">
      <c r="I83"/>
      <c r="J83"/>
    </row>
    <row r="84" spans="9:10" x14ac:dyDescent="0.25">
      <c r="I84"/>
      <c r="J84"/>
    </row>
    <row r="85" spans="9:10" x14ac:dyDescent="0.25">
      <c r="I85"/>
      <c r="J85"/>
    </row>
    <row r="86" spans="9:10" x14ac:dyDescent="0.25">
      <c r="I86"/>
      <c r="J86"/>
    </row>
    <row r="87" spans="9:10" x14ac:dyDescent="0.25">
      <c r="I87"/>
      <c r="J87"/>
    </row>
    <row r="88" spans="9:10" x14ac:dyDescent="0.25">
      <c r="I88"/>
      <c r="J88"/>
    </row>
    <row r="89" spans="9:10" x14ac:dyDescent="0.25">
      <c r="I89"/>
      <c r="J89"/>
    </row>
    <row r="90" spans="9:10" x14ac:dyDescent="0.25">
      <c r="I90"/>
      <c r="J90"/>
    </row>
    <row r="91" spans="9:10" x14ac:dyDescent="0.25">
      <c r="I91"/>
      <c r="J91"/>
    </row>
    <row r="92" spans="9:10" x14ac:dyDescent="0.25">
      <c r="I92"/>
      <c r="J92"/>
    </row>
    <row r="93" spans="9:10" x14ac:dyDescent="0.25">
      <c r="I93"/>
      <c r="J93"/>
    </row>
    <row r="94" spans="9:10" x14ac:dyDescent="0.25">
      <c r="I94"/>
      <c r="J94"/>
    </row>
    <row r="95" spans="9:10" x14ac:dyDescent="0.25">
      <c r="I95"/>
      <c r="J95"/>
    </row>
  </sheetData>
  <sortState ref="A14:AE64">
    <sortCondition ref="A14:A64"/>
  </sortState>
  <mergeCells count="1">
    <mergeCell ref="G7:H8"/>
  </mergeCells>
  <conditionalFormatting sqref="J14:J63">
    <cfRule type="cellIs" dxfId="112" priority="63" stopIfTrue="1" operator="equal">
      <formula>0</formula>
    </cfRule>
  </conditionalFormatting>
  <conditionalFormatting sqref="H14:H63">
    <cfRule type="cellIs" dxfId="111" priority="24" stopIfTrue="1" operator="greaterThan">
      <formula>0</formula>
    </cfRule>
  </conditionalFormatting>
  <conditionalFormatting sqref="G7:H8">
    <cfRule type="cellIs" dxfId="110" priority="22" operator="greaterThan">
      <formula>1</formula>
    </cfRule>
  </conditionalFormatting>
  <conditionalFormatting sqref="O14:O63">
    <cfRule type="cellIs" dxfId="109" priority="18" operator="equal">
      <formula>1</formula>
    </cfRule>
    <cfRule type="cellIs" dxfId="108" priority="19" operator="equal">
      <formula>1</formula>
    </cfRule>
  </conditionalFormatting>
  <conditionalFormatting sqref="AC11">
    <cfRule type="cellIs" dxfId="107" priority="17" operator="greaterThan">
      <formula>0</formula>
    </cfRule>
  </conditionalFormatting>
  <conditionalFormatting sqref="N14:N63">
    <cfRule type="containsText" dxfId="106" priority="3" operator="containsText" text="ERREUR">
      <formula>NOT(ISERROR(SEARCH("ERREUR",N14)))</formula>
    </cfRule>
  </conditionalFormatting>
  <dataValidations count="6">
    <dataValidation type="whole" allowBlank="1" showInputMessage="1" showErrorMessage="1" sqref="H14:H63">
      <formula1>1</formula1>
      <formula2>500</formula2>
    </dataValidation>
    <dataValidation type="custom" allowBlank="1" showInputMessage="1" showErrorMessage="1" sqref="O2 Q3:AA4 AC11 F14:F63 AI8:AJ10 K64 AC14:AC63 E10:E11 Q14:Q63 AI3:AJ3 I14:J63 AB14:AB64 N3 Q13:AA13 L7:M7 AK2:AL3 C3:J3 N6:N7 O14:O63 AH2:AH3 AC3:AG3 AF5:AF6 AF8:AF9 C14:E37">
      <formula1>"&gt;=1"</formula1>
    </dataValidation>
    <dataValidation type="whole" allowBlank="1" showInputMessage="1" showErrorMessage="1" sqref="K14:M63">
      <formula1>0</formula1>
      <formula2>1</formula2>
    </dataValidation>
    <dataValidation type="whole" allowBlank="1" showInputMessage="1" showErrorMessage="1" sqref="G63">
      <formula1>0</formula1>
      <formula2>4</formula2>
    </dataValidation>
    <dataValidation type="whole" allowBlank="1" showInputMessage="1" showErrorMessage="1" sqref="G14:G62">
      <formula1>0</formula1>
      <formula2>3</formula2>
    </dataValidation>
    <dataValidation type="custom" allowBlank="1" showInputMessage="1" showErrorMessage="1" sqref="O3">
      <formula1>"&gt;)1"</formula1>
    </dataValidation>
  </dataValidations>
  <pageMargins left="0.7" right="0.7" top="0.75" bottom="0.75" header="0.3" footer="0.3"/>
  <pageSetup paperSize="9" orientation="portrait"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9"/>
  </sheetPr>
  <dimension ref="A1:AS95"/>
  <sheetViews>
    <sheetView showZeros="0" zoomScale="110" zoomScaleNormal="110" workbookViewId="0">
      <pane xSplit="2" ySplit="13" topLeftCell="C14" activePane="bottomRight" state="frozenSplit"/>
      <selection pane="topRight" activeCell="C1" sqref="C1"/>
      <selection pane="bottomLeft" activeCell="A14" sqref="A14"/>
      <selection pane="bottomRight" activeCell="A5" sqref="A5"/>
    </sheetView>
  </sheetViews>
  <sheetFormatPr baseColWidth="10" defaultRowHeight="13.2" x14ac:dyDescent="0.25"/>
  <cols>
    <col min="2" max="2" width="20.44140625" customWidth="1"/>
    <col min="3" max="10" width="11.5546875" style="55" hidden="1" customWidth="1"/>
    <col min="14" max="14" width="12.5546875" customWidth="1"/>
    <col min="20" max="20" width="7.5546875" customWidth="1"/>
    <col min="21" max="22" width="7.88671875" customWidth="1"/>
    <col min="23" max="23" width="8" customWidth="1"/>
    <col min="24" max="24" width="8.109375" customWidth="1"/>
    <col min="25" max="25" width="8" customWidth="1"/>
    <col min="26" max="26" width="7.33203125" customWidth="1"/>
    <col min="27" max="27" width="8" customWidth="1"/>
    <col min="28" max="28" width="6.33203125" customWidth="1"/>
    <col min="29" max="29" width="13" customWidth="1"/>
    <col min="32" max="32" width="9.77734375" customWidth="1"/>
    <col min="36" max="36" width="13.5546875" customWidth="1"/>
    <col min="37" max="37" width="14" customWidth="1"/>
  </cols>
  <sheetData>
    <row r="1" spans="1:45" ht="15.6" thickBot="1" x14ac:dyDescent="0.3">
      <c r="A1" s="145">
        <f>Liste!C1</f>
        <v>44084</v>
      </c>
      <c r="B1" s="129">
        <v>1</v>
      </c>
      <c r="C1" s="141" t="str">
        <f xml:space="preserve"> AI10&amp;AJ10</f>
        <v/>
      </c>
      <c r="K1" s="141" t="str">
        <f xml:space="preserve"> $AI$10&amp;$AJ$10</f>
        <v/>
      </c>
      <c r="L1" s="55"/>
      <c r="M1" s="55"/>
      <c r="Q1">
        <v>1</v>
      </c>
      <c r="R1">
        <v>2</v>
      </c>
      <c r="S1">
        <v>3</v>
      </c>
      <c r="T1">
        <v>4</v>
      </c>
      <c r="AC1" s="42" t="s">
        <v>185</v>
      </c>
      <c r="AD1" s="42">
        <v>25</v>
      </c>
      <c r="AE1" s="42">
        <v>25.1</v>
      </c>
      <c r="AF1" s="147">
        <v>26</v>
      </c>
      <c r="AG1" s="42">
        <v>26.1</v>
      </c>
      <c r="AJ1" s="91"/>
      <c r="AL1">
        <v>901</v>
      </c>
      <c r="AM1" s="126">
        <f>IF(N3-E10=0,0,1)</f>
        <v>0</v>
      </c>
    </row>
    <row r="2" spans="1:45" ht="26.4" x14ac:dyDescent="0.25">
      <c r="A2" s="8">
        <v>24</v>
      </c>
      <c r="B2" s="11" t="s">
        <v>184</v>
      </c>
      <c r="C2" s="47" t="s">
        <v>3</v>
      </c>
      <c r="D2" s="48" t="s">
        <v>4</v>
      </c>
      <c r="E2" s="49" t="s">
        <v>5</v>
      </c>
      <c r="F2" s="50" t="s">
        <v>8</v>
      </c>
      <c r="G2" s="56" t="s">
        <v>11</v>
      </c>
      <c r="H2" s="56" t="s">
        <v>26</v>
      </c>
      <c r="I2" s="57" t="s">
        <v>12</v>
      </c>
      <c r="J2" s="52" t="s">
        <v>7</v>
      </c>
      <c r="K2" s="47" t="s">
        <v>3</v>
      </c>
      <c r="L2" s="48" t="s">
        <v>4</v>
      </c>
      <c r="M2" s="160" t="s">
        <v>5</v>
      </c>
      <c r="N2" s="220" t="s">
        <v>157</v>
      </c>
      <c r="O2" s="6">
        <f>COUNT(H14:H63)</f>
        <v>8</v>
      </c>
      <c r="P2" s="7"/>
      <c r="Q2" s="135" t="s">
        <v>17</v>
      </c>
      <c r="R2" s="136" t="s">
        <v>14</v>
      </c>
      <c r="S2" s="136" t="s">
        <v>14</v>
      </c>
      <c r="T2" s="137" t="s">
        <v>14</v>
      </c>
      <c r="U2" s="137" t="s">
        <v>14</v>
      </c>
      <c r="V2" s="137" t="s">
        <v>14</v>
      </c>
      <c r="W2" s="137" t="s">
        <v>14</v>
      </c>
      <c r="X2" s="137" t="s">
        <v>14</v>
      </c>
      <c r="Y2" s="137" t="s">
        <v>14</v>
      </c>
      <c r="Z2" s="137" t="s">
        <v>14</v>
      </c>
      <c r="AA2" s="137" t="s">
        <v>14</v>
      </c>
      <c r="AC2" s="2">
        <f>240*(A2=24)*(L3&gt;K3)+241*(A2=24)*(K3&gt;L3)</f>
        <v>241</v>
      </c>
      <c r="AD2" s="2">
        <f>250*(A2=25)*(K3&lt;L3)+252*(A2=25)*(K3&gt;=AI7)</f>
        <v>0</v>
      </c>
      <c r="AE2" s="2">
        <f>250*(A2=25.1)*(L3&lt;K3)+2*(A2=25.1)*(K3&gt;L3)+250*(A2=25.1)*(K3&lt;L3)</f>
        <v>0</v>
      </c>
      <c r="AF2" s="2">
        <f>260*(A2=26)*((K3&lt;AJ7)*(K7&lt;AJ8)*(K3&lt;=AK7))+(262*(A2=26)*((K3&gt;=AJ7)*+(K7&gt;=AJ8)))+1*(A2=26)*(K7&gt;=AJ8)*(K3&gt;=AK7)</f>
        <v>0</v>
      </c>
      <c r="AG2" s="2">
        <f>262*(A2=26.1)*(K3&gt;=AI7)+260*(A2=26.1)*(K3&lt;AI7)</f>
        <v>0</v>
      </c>
      <c r="AH2" s="2"/>
      <c r="AI2" s="130"/>
      <c r="AJ2" s="2">
        <f>SUM(AC2:AI2)</f>
        <v>241</v>
      </c>
      <c r="AK2" s="45"/>
      <c r="AL2" s="43">
        <v>4</v>
      </c>
      <c r="AN2" s="1">
        <v>240</v>
      </c>
      <c r="AO2" s="1" t="str">
        <f>IF($AJ$2=240,CONCATENATE("Résolution REFUSEE par ",D3, " voix CONTRE et ",C3," voix POUR."),"")</f>
        <v/>
      </c>
      <c r="AP2" s="1"/>
      <c r="AQ2" s="1"/>
      <c r="AR2" s="1"/>
      <c r="AS2" s="1"/>
    </row>
    <row r="3" spans="1:45" x14ac:dyDescent="0.25">
      <c r="B3" s="12" t="s">
        <v>193</v>
      </c>
      <c r="C3" s="58">
        <f>SUM($C$14:$C$63)</f>
        <v>3120</v>
      </c>
      <c r="D3" s="59">
        <f>SUM($D$14:$D$63)</f>
        <v>2920</v>
      </c>
      <c r="E3" s="59">
        <f>SUM($E$14:$E63)</f>
        <v>2500</v>
      </c>
      <c r="F3" s="60">
        <f>SUM($F$14:$F$63)</f>
        <v>8540</v>
      </c>
      <c r="G3" s="61">
        <f>E11</f>
        <v>21</v>
      </c>
      <c r="H3" s="62"/>
      <c r="I3" s="63">
        <f>SUM($I$14:$I$63)</f>
        <v>21</v>
      </c>
      <c r="J3" s="63">
        <f>SUM($J$14:$J$63)</f>
        <v>8540</v>
      </c>
      <c r="K3" s="58">
        <f>SUM($C$14:$C$63)</f>
        <v>3120</v>
      </c>
      <c r="L3" s="59">
        <f>SUM($D$14:$D$63)</f>
        <v>2920</v>
      </c>
      <c r="M3" s="161">
        <f>SUM($E$14:$E63)</f>
        <v>2500</v>
      </c>
      <c r="N3" s="32">
        <f>K3+L3+M3</f>
        <v>8540</v>
      </c>
      <c r="O3" s="218" t="str">
        <f>IF(AND($N$3&gt;0,N3&lt;&gt;E10),"EN ATTEBTE","")</f>
        <v/>
      </c>
      <c r="Q3" s="18">
        <f t="shared" ref="Q3:AA3" si="0">SUM(Q14:Q63)</f>
        <v>10000</v>
      </c>
      <c r="R3" s="18">
        <f t="shared" si="0"/>
        <v>1000</v>
      </c>
      <c r="S3" s="18">
        <f t="shared" si="0"/>
        <v>0</v>
      </c>
      <c r="T3" s="18">
        <f t="shared" si="0"/>
        <v>0</v>
      </c>
      <c r="U3" s="18">
        <f t="shared" si="0"/>
        <v>0</v>
      </c>
      <c r="V3" s="18">
        <f t="shared" si="0"/>
        <v>0</v>
      </c>
      <c r="W3" s="18">
        <f t="shared" si="0"/>
        <v>0</v>
      </c>
      <c r="X3" s="18">
        <f t="shared" si="0"/>
        <v>0</v>
      </c>
      <c r="Y3" s="18">
        <f t="shared" si="0"/>
        <v>0</v>
      </c>
      <c r="Z3" s="18">
        <f t="shared" si="0"/>
        <v>0</v>
      </c>
      <c r="AA3" s="18">
        <f t="shared" si="0"/>
        <v>0</v>
      </c>
      <c r="AH3" s="53">
        <f>(AJ2=241)+(AJ2=252)+(AJ2=262)+(AJ2=267)+(AJ2=269)+((AJ2=240)+(AJ2=250)+(AJ2=251)+(AJ2=260)+(AJ2=265)+(AJ2=266)+(AJ2=268))*2</f>
        <v>1</v>
      </c>
      <c r="AI3" s="46"/>
      <c r="AJ3" s="44"/>
      <c r="AK3" s="44"/>
      <c r="AL3" s="45"/>
      <c r="AN3" s="1">
        <v>241</v>
      </c>
      <c r="AO3" s="1" t="str">
        <f>IF($AJ$2=241,CONCATENATE("Résolution ADOPTEE par ",C3," voix POUR et ",D3," voix CONTRE."),"")</f>
        <v>Résolution ADOPTEE par 3120 voix POUR et 2920 voix CONTRE.</v>
      </c>
      <c r="AP3" s="1"/>
      <c r="AQ3" s="1"/>
      <c r="AR3" s="1"/>
      <c r="AS3" s="1"/>
    </row>
    <row r="4" spans="1:45" x14ac:dyDescent="0.25">
      <c r="A4" s="22"/>
      <c r="B4" s="13">
        <v>1</v>
      </c>
      <c r="C4" s="64"/>
      <c r="Q4" s="25">
        <f t="shared" ref="Q4:AA4" si="1">COUNTIF(Q14:Q63,"&gt;0")</f>
        <v>25</v>
      </c>
      <c r="R4" s="25">
        <f t="shared" si="1"/>
        <v>20</v>
      </c>
      <c r="S4" s="25">
        <f t="shared" si="1"/>
        <v>0</v>
      </c>
      <c r="T4" s="25">
        <f t="shared" si="1"/>
        <v>0</v>
      </c>
      <c r="U4" s="25">
        <f t="shared" si="1"/>
        <v>0</v>
      </c>
      <c r="V4" s="25">
        <f t="shared" si="1"/>
        <v>0</v>
      </c>
      <c r="W4" s="25">
        <f t="shared" si="1"/>
        <v>0</v>
      </c>
      <c r="X4" s="25">
        <f t="shared" si="1"/>
        <v>0</v>
      </c>
      <c r="Y4" s="25">
        <f t="shared" si="1"/>
        <v>0</v>
      </c>
      <c r="Z4" s="25">
        <f t="shared" si="1"/>
        <v>0</v>
      </c>
      <c r="AA4" s="25">
        <f t="shared" si="1"/>
        <v>0</v>
      </c>
      <c r="AN4" s="1">
        <v>250</v>
      </c>
      <c r="AO4" s="1" t="b">
        <f>IF($AJ$2=250,CONCATENATE("Résolution REFUSEE,Pas de possibilité de 2e vote",""))</f>
        <v>0</v>
      </c>
      <c r="AP4" s="1"/>
      <c r="AQ4" s="1"/>
      <c r="AR4" s="1"/>
      <c r="AS4" s="1"/>
    </row>
    <row r="5" spans="1:45" ht="13.8" thickBot="1" x14ac:dyDescent="0.3">
      <c r="C5" s="65" t="str">
        <f>VLOOKUP($AJ$2,$AN$2:$AO$13,2,FALSE)</f>
        <v>Résolution ADOPTEE par 3120 voix POUR et 2920 voix CONTRE.</v>
      </c>
      <c r="D5" s="66"/>
      <c r="E5" s="66"/>
      <c r="F5" s="66"/>
      <c r="G5" s="66"/>
      <c r="K5" s="141" t="str">
        <f>IF(A2=26,"&gt;= " &amp; AJ11,"")</f>
        <v/>
      </c>
      <c r="N5" s="16"/>
      <c r="O5" s="16"/>
      <c r="AA5" s="26"/>
      <c r="AE5" t="s">
        <v>188</v>
      </c>
      <c r="AF5">
        <f>K3</f>
        <v>3120</v>
      </c>
      <c r="AI5" s="139" t="s">
        <v>118</v>
      </c>
      <c r="AJ5" s="4" t="s">
        <v>10</v>
      </c>
      <c r="AK5" s="219" t="s">
        <v>186</v>
      </c>
      <c r="AN5" s="1">
        <v>251</v>
      </c>
      <c r="AO5" s="1" t="str">
        <f>IF($AJ$2=251,CONCATENATE("Possibilité d'un deuxième vote à l'article 25,1, majorité 24, "),"")</f>
        <v/>
      </c>
      <c r="AP5" s="1"/>
      <c r="AQ5" s="1"/>
      <c r="AR5" s="1"/>
      <c r="AS5" s="1"/>
    </row>
    <row r="6" spans="1:45" x14ac:dyDescent="0.25">
      <c r="C6" s="64" t="str">
        <f>IF(AND($A$2=26.1,$C$3&lt;$AK$7),CONCATENATE("Majorité des voix ",$AK$7," non acquise"),"")</f>
        <v/>
      </c>
      <c r="D6" s="64"/>
      <c r="E6" s="64"/>
      <c r="F6" s="64"/>
      <c r="G6" s="64"/>
      <c r="K6" s="23" t="s">
        <v>1</v>
      </c>
      <c r="L6" s="24" t="s">
        <v>2</v>
      </c>
      <c r="M6" s="162" t="s">
        <v>13</v>
      </c>
      <c r="N6" s="164" t="s">
        <v>157</v>
      </c>
      <c r="O6" s="16"/>
      <c r="AB6" s="5"/>
      <c r="AE6" s="91" t="s">
        <v>189</v>
      </c>
      <c r="AF6" s="198">
        <f>K7</f>
        <v>8</v>
      </c>
      <c r="AI6" s="139" t="s">
        <v>9</v>
      </c>
      <c r="AJ6" s="4" t="s">
        <v>9</v>
      </c>
      <c r="AK6" s="219" t="s">
        <v>187</v>
      </c>
      <c r="AN6" s="1">
        <v>252</v>
      </c>
      <c r="AO6" s="1" t="str">
        <f>IF($AJ$2=252,CONCATENATE("Résolution adoptée par ",C3," voix POUR et ",D3," voix CONTRE"),"")</f>
        <v/>
      </c>
      <c r="AP6" s="1"/>
      <c r="AQ6" s="1"/>
      <c r="AR6" s="1"/>
      <c r="AS6" s="1"/>
    </row>
    <row r="7" spans="1:45" ht="17.399999999999999" x14ac:dyDescent="0.25">
      <c r="B7" s="150" t="s">
        <v>195</v>
      </c>
      <c r="C7" s="64"/>
      <c r="D7" s="67"/>
      <c r="G7" s="228" t="str">
        <f>IF(SUM($O$14:$O$63)&gt;0,"LIMITES DEPASSEES","")</f>
        <v/>
      </c>
      <c r="H7" s="229"/>
      <c r="K7" s="31">
        <f>SUM($K$14:$K$163)</f>
        <v>8</v>
      </c>
      <c r="L7" s="21">
        <f>SUM($L$14:$L$63)</f>
        <v>7</v>
      </c>
      <c r="M7" s="163">
        <f>SUM($M$14:$M$163)</f>
        <v>6</v>
      </c>
      <c r="N7" s="31">
        <f>K7+L7+M7</f>
        <v>21</v>
      </c>
      <c r="O7" s="77" t="str">
        <f>IF(AND($N$7&gt;0,N7&lt;&gt;E11),"EN ATTENTE","")</f>
        <v/>
      </c>
      <c r="AB7" s="5"/>
      <c r="AI7" s="2">
        <f>ROUNDDOWN((D10)/2+1,0)</f>
        <v>5001</v>
      </c>
      <c r="AJ7" s="2">
        <f>ROUNDDOWN((D10)*2/3+1,0)</f>
        <v>6667</v>
      </c>
      <c r="AK7" s="2">
        <f>ROUNDDOWN((D10)*1/3+1,0)</f>
        <v>3334</v>
      </c>
      <c r="AN7" s="1">
        <v>260</v>
      </c>
      <c r="AO7" s="1" t="str">
        <f>IF($AJ$2=260,CONCATENATE("Résolution REJETEE ."),"")</f>
        <v/>
      </c>
      <c r="AP7" s="1"/>
      <c r="AQ7" s="1"/>
      <c r="AR7" s="1"/>
      <c r="AS7" s="1"/>
    </row>
    <row r="8" spans="1:45" x14ac:dyDescent="0.25">
      <c r="C8" s="19" t="s">
        <v>22</v>
      </c>
      <c r="D8" s="36" t="s">
        <v>22</v>
      </c>
      <c r="E8" s="68" t="s">
        <v>21</v>
      </c>
      <c r="G8" s="229"/>
      <c r="H8" s="229"/>
      <c r="AB8" s="5"/>
      <c r="AD8" t="s">
        <v>192</v>
      </c>
      <c r="AE8">
        <f>2*(A2=25)*(J3&gt;=AJ7)</f>
        <v>0</v>
      </c>
      <c r="AF8" t="str">
        <f>IF(AE8=2,"Possibilité 2e vote","")</f>
        <v/>
      </c>
      <c r="AI8" s="140"/>
      <c r="AJ8" s="2">
        <f>ROUNDUP(($D$11+0.1)/2,0)</f>
        <v>13</v>
      </c>
      <c r="AN8" s="1">
        <v>262</v>
      </c>
      <c r="AO8" s="1" t="b">
        <f>IF($AJ$2=262,CONCATENATE("Résolution ADOPTEE par ",C3," voix POUR et ",D3," voix CONTRE"))</f>
        <v>0</v>
      </c>
      <c r="AP8" s="1"/>
      <c r="AQ8" s="1"/>
      <c r="AR8" s="1"/>
      <c r="AS8" s="1"/>
    </row>
    <row r="9" spans="1:45" x14ac:dyDescent="0.25">
      <c r="C9" s="69" t="s">
        <v>19</v>
      </c>
      <c r="D9" s="70" t="s">
        <v>23</v>
      </c>
      <c r="E9" s="71" t="s">
        <v>20</v>
      </c>
      <c r="K9" s="9" t="str">
        <f>VLOOKUP($AJ$2,$AN$2:$AO$13,2,FALSE)</f>
        <v>Résolution ADOPTEE par 3120 voix POUR et 2920 voix CONTRE.</v>
      </c>
      <c r="L9" s="10"/>
      <c r="M9" s="10"/>
      <c r="N9" s="143"/>
      <c r="O9" s="143"/>
      <c r="AB9" s="5"/>
      <c r="AD9" t="s">
        <v>191</v>
      </c>
      <c r="AE9" s="126">
        <f>2*(A2=26)*(K7&gt;=AJ8)*(K3&gt;=AK7)</f>
        <v>0</v>
      </c>
      <c r="AF9" t="str">
        <f>IF(AE9=2,"Possibilité 2e vote","")</f>
        <v/>
      </c>
      <c r="AN9" s="1"/>
      <c r="AO9" s="1"/>
      <c r="AP9" s="1"/>
      <c r="AQ9" s="1"/>
      <c r="AR9" s="1"/>
      <c r="AS9" s="1"/>
    </row>
    <row r="10" spans="1:45" x14ac:dyDescent="0.25">
      <c r="C10" s="72">
        <f>HLOOKUP(1,$Q$1:$AA$4,3,FALSE)</f>
        <v>10000</v>
      </c>
      <c r="D10" s="72">
        <f>HLOOKUP($B$4,$Q$1:$AA$4,3,FALSE)</f>
        <v>10000</v>
      </c>
      <c r="E10" s="73">
        <f>SUM($F$14:$F$63)</f>
        <v>8540</v>
      </c>
      <c r="F10" s="55" t="s">
        <v>24</v>
      </c>
      <c r="AB10" s="5"/>
      <c r="AI10" s="142" t="str">
        <f xml:space="preserve"> IF($A$2=25,"&gt;= " &amp; $AI$7,"")</f>
        <v/>
      </c>
      <c r="AJ10" s="142" t="str">
        <f xml:space="preserve"> IF($A$2=26,"&gt;= " &amp; $AJ$7,"")</f>
        <v/>
      </c>
      <c r="AK10" s="142" t="str">
        <f xml:space="preserve"> IF($A$2=26.1,"&gt;= " &amp; $AK$7,"")</f>
        <v/>
      </c>
      <c r="AN10" s="1"/>
      <c r="AO10" s="1"/>
      <c r="AP10" s="1"/>
      <c r="AQ10" s="1"/>
      <c r="AR10" s="1"/>
      <c r="AS10" s="1"/>
    </row>
    <row r="11" spans="1:45" x14ac:dyDescent="0.25">
      <c r="C11" s="74">
        <f>HLOOKUP(1,$Q$1:$AA$4,4,FALSE)</f>
        <v>25</v>
      </c>
      <c r="D11" s="74">
        <f>HLOOKUP($B$4,$Q$1:$AA$4,4,FALSE)</f>
        <v>25</v>
      </c>
      <c r="E11" s="75">
        <f>SUM($I$14:$I$63)</f>
        <v>21</v>
      </c>
      <c r="F11" s="55" t="s">
        <v>25</v>
      </c>
      <c r="J11" s="64"/>
      <c r="N11" t="str">
        <f>IF(K14+L14+M14&gt;1,"ERREUR","")</f>
        <v/>
      </c>
      <c r="AB11" s="5"/>
      <c r="AC11" s="85">
        <f>SUM($O$14:$O$63)</f>
        <v>0</v>
      </c>
      <c r="AD11" s="126">
        <f>$D$10*$O$12</f>
        <v>1500</v>
      </c>
      <c r="AJ11" s="142" t="str">
        <f xml:space="preserve"> IF($A$2=26,"&gt;= " &amp; $AJ$8,"")</f>
        <v/>
      </c>
      <c r="AN11" s="1"/>
      <c r="AO11" s="1"/>
      <c r="AP11" s="1"/>
      <c r="AQ11" s="1"/>
      <c r="AR11" s="1"/>
      <c r="AS11" s="1"/>
    </row>
    <row r="12" spans="1:45" ht="13.8" thickBot="1" x14ac:dyDescent="0.3">
      <c r="C12" s="76"/>
      <c r="D12" s="77" t="s">
        <v>194</v>
      </c>
      <c r="O12" s="217">
        <v>0.15</v>
      </c>
      <c r="P12" s="216"/>
      <c r="Q12" s="16"/>
      <c r="AB12" s="5"/>
      <c r="AN12" s="1"/>
      <c r="AO12" s="1"/>
      <c r="AP12" s="1"/>
      <c r="AQ12" s="1"/>
      <c r="AR12" s="1"/>
      <c r="AS12" s="1"/>
    </row>
    <row r="13" spans="1:45" ht="26.4" x14ac:dyDescent="0.25">
      <c r="A13" s="14" t="s">
        <v>15</v>
      </c>
      <c r="B13" s="15" t="s">
        <v>0</v>
      </c>
      <c r="C13" s="151" t="s">
        <v>55</v>
      </c>
      <c r="D13" s="48" t="s">
        <v>56</v>
      </c>
      <c r="E13" s="49" t="s">
        <v>5</v>
      </c>
      <c r="F13" s="50" t="s">
        <v>8</v>
      </c>
      <c r="G13" s="146" t="s">
        <v>143</v>
      </c>
      <c r="H13" s="51" t="s">
        <v>16</v>
      </c>
      <c r="I13" s="57" t="s">
        <v>12</v>
      </c>
      <c r="J13" s="52" t="s">
        <v>7</v>
      </c>
      <c r="K13" s="54" t="s">
        <v>57</v>
      </c>
      <c r="L13" s="54" t="s">
        <v>145</v>
      </c>
      <c r="M13" s="54" t="s">
        <v>146</v>
      </c>
      <c r="N13" s="3" t="s">
        <v>6</v>
      </c>
      <c r="O13" s="215" t="s">
        <v>29</v>
      </c>
      <c r="P13" s="17" t="s">
        <v>149</v>
      </c>
      <c r="Q13" s="138" t="s">
        <v>18</v>
      </c>
      <c r="R13" s="138" t="str">
        <f t="shared" ref="R13:AA13" si="2">R2</f>
        <v xml:space="preserve"> TANT.</v>
      </c>
      <c r="S13" s="138" t="str">
        <f t="shared" si="2"/>
        <v xml:space="preserve"> TANT.</v>
      </c>
      <c r="T13" s="138" t="str">
        <f t="shared" si="2"/>
        <v xml:space="preserve"> TANT.</v>
      </c>
      <c r="U13" s="138" t="str">
        <f t="shared" si="2"/>
        <v xml:space="preserve"> TANT.</v>
      </c>
      <c r="V13" s="138" t="str">
        <f t="shared" si="2"/>
        <v xml:space="preserve"> TANT.</v>
      </c>
      <c r="W13" s="138" t="str">
        <f t="shared" si="2"/>
        <v xml:space="preserve"> TANT.</v>
      </c>
      <c r="X13" s="138" t="str">
        <f t="shared" si="2"/>
        <v xml:space="preserve"> TANT.</v>
      </c>
      <c r="Y13" s="138" t="str">
        <f t="shared" si="2"/>
        <v xml:space="preserve"> TANT.</v>
      </c>
      <c r="Z13" s="138" t="str">
        <f t="shared" si="2"/>
        <v xml:space="preserve"> TANT.</v>
      </c>
      <c r="AA13" s="138" t="str">
        <f t="shared" si="2"/>
        <v xml:space="preserve"> TANT.</v>
      </c>
      <c r="AB13" s="27" t="s">
        <v>100</v>
      </c>
      <c r="AC13" s="40" t="s">
        <v>28</v>
      </c>
      <c r="AD13" s="39" t="s">
        <v>27</v>
      </c>
      <c r="AE13" s="148" t="s">
        <v>117</v>
      </c>
      <c r="AF13" s="147"/>
      <c r="AG13" s="42"/>
      <c r="AN13" s="1"/>
      <c r="AO13" s="1"/>
      <c r="AP13" s="1"/>
      <c r="AQ13" s="1"/>
      <c r="AR13" s="1"/>
      <c r="AS13" s="1"/>
    </row>
    <row r="14" spans="1:45" x14ac:dyDescent="0.25">
      <c r="A14" s="28">
        <v>1</v>
      </c>
      <c r="B14" s="29" t="str">
        <f>IF(A14&lt;&gt;0,VLOOKUP(A14,Liste!$A$10:$D$59,4,FALSE),"")</f>
        <v>ALADIN André</v>
      </c>
      <c r="C14" s="58">
        <f t="shared" ref="C14:C38" si="3">F14*(K14=1)</f>
        <v>425</v>
      </c>
      <c r="D14" s="58">
        <f t="shared" ref="D14:D45" si="4">F14*(L14=1)</f>
        <v>0</v>
      </c>
      <c r="E14" s="58">
        <f t="shared" ref="E14:E45" si="5">F14*(M14=1)</f>
        <v>0</v>
      </c>
      <c r="F14" s="78">
        <f t="shared" ref="F14:F45" si="6">IF(I14=1,VLOOKUP(A14,$A$14:$AA$63,16+$B$4,0),0)</f>
        <v>425</v>
      </c>
      <c r="G14" s="131">
        <v>1</v>
      </c>
      <c r="H14" s="132"/>
      <c r="I14" s="78">
        <f t="shared" ref="I14:I45" si="7">1*(IF(G14&gt;0,VLOOKUP(A14,$A$14:$AA$63,16+$B$4,0)&gt;0))</f>
        <v>1</v>
      </c>
      <c r="J14" s="78">
        <f t="shared" ref="J14:J45" si="8">IF(F14&gt;0,F14,0)</f>
        <v>425</v>
      </c>
      <c r="K14" s="33">
        <v>1</v>
      </c>
      <c r="L14" s="34"/>
      <c r="M14" s="34"/>
      <c r="N14" s="214" t="str">
        <f t="shared" ref="N14:N45" si="9">IF(AND(I14&gt;0,K14+L14+M14=0),"EN ATTENTE",IF(K14+L14+M14&gt;1,"ERREUR",""))</f>
        <v/>
      </c>
      <c r="O14" s="144" t="str">
        <f t="shared" ref="O14:O45" si="10">IF(AND(AC14&gt;3,AD14&gt;$D$10*$O$12),1,"")</f>
        <v/>
      </c>
      <c r="P14" s="20">
        <f t="shared" ref="P14:P45" si="11">IF(I14=1,K14*(K14=1)+L14*2*(L14=1)+M14*3*(M14=1),5)</f>
        <v>1</v>
      </c>
      <c r="Q14" s="221">
        <f>IF(A14&lt;&gt;0,VLOOKUP(A14,Liste!$A$10:$K$59,8,FALSE),"")</f>
        <v>425</v>
      </c>
      <c r="R14" s="33">
        <v>50</v>
      </c>
      <c r="S14" s="30"/>
      <c r="T14" s="30"/>
      <c r="U14" s="30"/>
      <c r="V14" s="30"/>
      <c r="W14" s="30"/>
      <c r="X14" s="30"/>
      <c r="Y14" s="30"/>
      <c r="Z14" s="30"/>
      <c r="AA14" s="30"/>
      <c r="AB14" s="222">
        <f t="shared" ref="AB14:AB45" si="12">(H14+I14)*(J14&gt;0)</f>
        <v>1</v>
      </c>
      <c r="AC14" s="223">
        <f t="shared" ref="AC14:AC45" si="13">COUNTIF($H$14:$H$63,A14)</f>
        <v>0</v>
      </c>
      <c r="AD14" s="224" t="str">
        <f>IF(AC14&gt;3,(SUMIF($H$14:$H$63,A14,$J$14:$J$63)+VLOOKUP(A14,$A$13:AA$63,16+$B$4)),"")</f>
        <v/>
      </c>
      <c r="AE14" s="225">
        <f t="shared" ref="AE14:AE45" si="14">IF(H14&gt;0,H14+0.5*(I14=1),A14*(I14=1))+(1000*(I14&lt;1))</f>
        <v>1</v>
      </c>
    </row>
    <row r="15" spans="1:45" x14ac:dyDescent="0.25">
      <c r="A15" s="28">
        <v>4</v>
      </c>
      <c r="B15" s="29" t="str">
        <f>IF(A15&lt;&gt;0,VLOOKUP(A15,Liste!$A$10:$D$59,4,FALSE),"")</f>
        <v>ANIEBERT Paul</v>
      </c>
      <c r="C15" s="58">
        <f t="shared" si="3"/>
        <v>320</v>
      </c>
      <c r="D15" s="58">
        <f t="shared" si="4"/>
        <v>0</v>
      </c>
      <c r="E15" s="58">
        <f t="shared" si="5"/>
        <v>0</v>
      </c>
      <c r="F15" s="78">
        <f t="shared" si="6"/>
        <v>320</v>
      </c>
      <c r="G15" s="131">
        <v>1</v>
      </c>
      <c r="H15" s="132"/>
      <c r="I15" s="78">
        <f t="shared" si="7"/>
        <v>1</v>
      </c>
      <c r="J15" s="78">
        <f t="shared" si="8"/>
        <v>320</v>
      </c>
      <c r="K15" s="33">
        <v>1</v>
      </c>
      <c r="L15" s="34"/>
      <c r="M15" s="34"/>
      <c r="N15" s="214" t="str">
        <f t="shared" si="9"/>
        <v/>
      </c>
      <c r="O15" s="144" t="str">
        <f t="shared" si="10"/>
        <v/>
      </c>
      <c r="P15" s="20">
        <f t="shared" si="11"/>
        <v>1</v>
      </c>
      <c r="Q15" s="221">
        <f>IF(A15&lt;&gt;0,VLOOKUP(A15,Liste!$A$10:$K$59,8,FALSE),"")</f>
        <v>320</v>
      </c>
      <c r="R15" s="33">
        <v>60</v>
      </c>
      <c r="S15" s="33"/>
      <c r="T15" s="33"/>
      <c r="U15" s="33"/>
      <c r="V15" s="33"/>
      <c r="W15" s="33"/>
      <c r="X15" s="33"/>
      <c r="Y15" s="33"/>
      <c r="Z15" s="33"/>
      <c r="AA15" s="33"/>
      <c r="AB15" s="222">
        <f t="shared" si="12"/>
        <v>1</v>
      </c>
      <c r="AC15" s="224">
        <f t="shared" si="13"/>
        <v>0</v>
      </c>
      <c r="AD15" s="224" t="str">
        <f>IF(AC15&gt;3,(SUMIF($H$14:$H$63,A15,$J$14:$J$63)+VLOOKUP(A15,$A$13:AA$63,16+$B$4)),"")</f>
        <v/>
      </c>
      <c r="AE15" s="225">
        <f t="shared" si="14"/>
        <v>4</v>
      </c>
    </row>
    <row r="16" spans="1:45" x14ac:dyDescent="0.25">
      <c r="A16" s="28">
        <v>12</v>
      </c>
      <c r="B16" s="29" t="str">
        <f>IF(A16&lt;&gt;0,VLOOKUP(A16,Liste!$A$10:$D$59,4,FALSE),"")</f>
        <v>BARDON Pierre</v>
      </c>
      <c r="C16" s="58">
        <f t="shared" si="3"/>
        <v>480</v>
      </c>
      <c r="D16" s="58">
        <f t="shared" si="4"/>
        <v>0</v>
      </c>
      <c r="E16" s="58">
        <f t="shared" si="5"/>
        <v>0</v>
      </c>
      <c r="F16" s="78">
        <f t="shared" si="6"/>
        <v>480</v>
      </c>
      <c r="G16" s="131">
        <v>1</v>
      </c>
      <c r="H16" s="132"/>
      <c r="I16" s="78">
        <f t="shared" si="7"/>
        <v>1</v>
      </c>
      <c r="J16" s="78">
        <f t="shared" si="8"/>
        <v>480</v>
      </c>
      <c r="K16" s="33">
        <v>1</v>
      </c>
      <c r="L16" s="34"/>
      <c r="M16" s="34"/>
      <c r="N16" s="214" t="str">
        <f t="shared" si="9"/>
        <v/>
      </c>
      <c r="O16" s="144" t="str">
        <f t="shared" si="10"/>
        <v/>
      </c>
      <c r="P16" s="20">
        <f t="shared" si="11"/>
        <v>1</v>
      </c>
      <c r="Q16" s="221">
        <f>IF(A16&lt;&gt;0,VLOOKUP(A16,Liste!$A$10:$K$59,8,FALSE),"")</f>
        <v>480</v>
      </c>
      <c r="R16" s="33"/>
      <c r="S16" s="33"/>
      <c r="T16" s="33"/>
      <c r="U16" s="33"/>
      <c r="V16" s="33"/>
      <c r="W16" s="33"/>
      <c r="X16" s="33"/>
      <c r="Y16" s="33"/>
      <c r="Z16" s="33"/>
      <c r="AA16" s="33"/>
      <c r="AB16" s="222">
        <f t="shared" si="12"/>
        <v>1</v>
      </c>
      <c r="AC16" s="224">
        <f t="shared" si="13"/>
        <v>0</v>
      </c>
      <c r="AD16" s="224" t="str">
        <f>IF(AC16&gt;3,(SUMIF($H$14:$H$63,A16,$J$14:$J$63)+VLOOKUP(A16,$A$13:AA$63,16+$B$4)),"")</f>
        <v/>
      </c>
      <c r="AE16" s="225">
        <f t="shared" si="14"/>
        <v>12</v>
      </c>
    </row>
    <row r="17" spans="1:31" x14ac:dyDescent="0.25">
      <c r="A17" s="28">
        <v>15</v>
      </c>
      <c r="B17" s="29" t="str">
        <f>IF(A17&lt;&gt;0,VLOOKUP(A17,Liste!$A$10:$D$59,4,FALSE),"")</f>
        <v>BAUDIARD Marcelin</v>
      </c>
      <c r="C17" s="58">
        <f t="shared" si="3"/>
        <v>395</v>
      </c>
      <c r="D17" s="58">
        <f t="shared" si="4"/>
        <v>0</v>
      </c>
      <c r="E17" s="58">
        <f t="shared" si="5"/>
        <v>0</v>
      </c>
      <c r="F17" s="78">
        <f t="shared" si="6"/>
        <v>395</v>
      </c>
      <c r="G17" s="131">
        <v>1</v>
      </c>
      <c r="H17" s="132"/>
      <c r="I17" s="78">
        <f t="shared" si="7"/>
        <v>1</v>
      </c>
      <c r="J17" s="78">
        <f t="shared" si="8"/>
        <v>395</v>
      </c>
      <c r="K17" s="33">
        <v>1</v>
      </c>
      <c r="L17" s="34"/>
      <c r="M17" s="34"/>
      <c r="N17" s="214" t="str">
        <f t="shared" si="9"/>
        <v/>
      </c>
      <c r="O17" s="144" t="str">
        <f t="shared" si="10"/>
        <v/>
      </c>
      <c r="P17" s="20">
        <f t="shared" si="11"/>
        <v>1</v>
      </c>
      <c r="Q17" s="221">
        <f>IF(A17&lt;&gt;0,VLOOKUP(A17,Liste!$A$10:$K$59,8,FALSE),"")</f>
        <v>395</v>
      </c>
      <c r="R17" s="33">
        <v>60</v>
      </c>
      <c r="S17" s="33"/>
      <c r="T17" s="33"/>
      <c r="U17" s="33"/>
      <c r="V17" s="33"/>
      <c r="W17" s="33"/>
      <c r="X17" s="33"/>
      <c r="Y17" s="33"/>
      <c r="Z17" s="33"/>
      <c r="AA17" s="33"/>
      <c r="AB17" s="222">
        <f t="shared" si="12"/>
        <v>1</v>
      </c>
      <c r="AC17" s="224">
        <f t="shared" si="13"/>
        <v>3</v>
      </c>
      <c r="AD17" s="224" t="str">
        <f>IF(AC17&gt;3,(SUMIF($H$14:$H$63,A17,$J$14:$J$63)+VLOOKUP(A17,$A$13:AA$63,16+$B$4)),"")</f>
        <v/>
      </c>
      <c r="AE17" s="225">
        <f t="shared" si="14"/>
        <v>15</v>
      </c>
    </row>
    <row r="18" spans="1:31" x14ac:dyDescent="0.25">
      <c r="A18" s="28">
        <v>3</v>
      </c>
      <c r="B18" s="29" t="str">
        <f>IF(A18&lt;&gt;0,VLOOKUP(A18,Liste!$A$10:$D$59,4,FALSE),"")</f>
        <v>AMSALAM Marcel</v>
      </c>
      <c r="C18" s="58">
        <f t="shared" si="3"/>
        <v>415</v>
      </c>
      <c r="D18" s="58">
        <f t="shared" si="4"/>
        <v>0</v>
      </c>
      <c r="E18" s="58">
        <f t="shared" si="5"/>
        <v>0</v>
      </c>
      <c r="F18" s="78">
        <f t="shared" si="6"/>
        <v>415</v>
      </c>
      <c r="G18" s="131">
        <v>1</v>
      </c>
      <c r="H18" s="132">
        <v>20</v>
      </c>
      <c r="I18" s="78">
        <f t="shared" si="7"/>
        <v>1</v>
      </c>
      <c r="J18" s="78">
        <f t="shared" si="8"/>
        <v>415</v>
      </c>
      <c r="K18" s="33">
        <v>1</v>
      </c>
      <c r="L18" s="34"/>
      <c r="M18" s="34"/>
      <c r="N18" s="214" t="str">
        <f t="shared" si="9"/>
        <v/>
      </c>
      <c r="O18" s="144" t="str">
        <f t="shared" si="10"/>
        <v/>
      </c>
      <c r="P18" s="20">
        <f t="shared" si="11"/>
        <v>1</v>
      </c>
      <c r="Q18" s="221">
        <f>IF(A18&lt;&gt;0,VLOOKUP(A18,Liste!$A$10:$K$59,8,FALSE),"")</f>
        <v>415</v>
      </c>
      <c r="R18" s="33"/>
      <c r="S18" s="30"/>
      <c r="T18" s="30"/>
      <c r="U18" s="30"/>
      <c r="V18" s="30"/>
      <c r="W18" s="30"/>
      <c r="X18" s="30"/>
      <c r="Y18" s="30"/>
      <c r="Z18" s="30"/>
      <c r="AA18" s="30"/>
      <c r="AB18" s="222">
        <f t="shared" si="12"/>
        <v>21</v>
      </c>
      <c r="AC18" s="224">
        <f t="shared" si="13"/>
        <v>0</v>
      </c>
      <c r="AD18" s="224" t="str">
        <f>IF(AC18&gt;3,(SUMIF($H$14:$H$63,A18,$J$14:$J$63)+VLOOKUP(A18,$A$13:AA$63,16+$B$4)),"")</f>
        <v/>
      </c>
      <c r="AE18" s="225">
        <f t="shared" si="14"/>
        <v>20.5</v>
      </c>
    </row>
    <row r="19" spans="1:31" x14ac:dyDescent="0.25">
      <c r="A19" s="28">
        <v>18</v>
      </c>
      <c r="B19" s="29" t="str">
        <f>IF(A19&lt;&gt;0,VLOOKUP(A19,Liste!$A$10:$D$59,4,FALSE),"")</f>
        <v>BESARDINI Luciennne</v>
      </c>
      <c r="C19" s="58">
        <f t="shared" si="3"/>
        <v>415</v>
      </c>
      <c r="D19" s="58">
        <f t="shared" si="4"/>
        <v>0</v>
      </c>
      <c r="E19" s="58">
        <f t="shared" si="5"/>
        <v>0</v>
      </c>
      <c r="F19" s="78">
        <f t="shared" si="6"/>
        <v>415</v>
      </c>
      <c r="G19" s="131">
        <v>2</v>
      </c>
      <c r="H19" s="132"/>
      <c r="I19" s="78">
        <f t="shared" si="7"/>
        <v>1</v>
      </c>
      <c r="J19" s="78">
        <f t="shared" si="8"/>
        <v>415</v>
      </c>
      <c r="K19" s="33">
        <v>1</v>
      </c>
      <c r="L19" s="34"/>
      <c r="M19" s="34"/>
      <c r="N19" s="214" t="str">
        <f t="shared" si="9"/>
        <v/>
      </c>
      <c r="O19" s="144" t="str">
        <f t="shared" si="10"/>
        <v/>
      </c>
      <c r="P19" s="20">
        <f t="shared" si="11"/>
        <v>1</v>
      </c>
      <c r="Q19" s="221">
        <f>IF(A19&lt;&gt;0,VLOOKUP(A19,Liste!$A$10:$K$59,8,FALSE),"")</f>
        <v>415</v>
      </c>
      <c r="R19" s="33">
        <v>20</v>
      </c>
      <c r="S19" s="33"/>
      <c r="T19" s="33"/>
      <c r="U19" s="33"/>
      <c r="V19" s="33"/>
      <c r="W19" s="33"/>
      <c r="X19" s="33"/>
      <c r="Y19" s="33"/>
      <c r="Z19" s="33"/>
      <c r="AA19" s="33"/>
      <c r="AB19" s="222">
        <f t="shared" si="12"/>
        <v>1</v>
      </c>
      <c r="AC19" s="224">
        <f t="shared" si="13"/>
        <v>0</v>
      </c>
      <c r="AD19" s="224" t="str">
        <f>IF(AC19&gt;3,(SUMIF($H$14:$H$63,A19,$J$14:$J$63)+VLOOKUP(A19,$A$13:AA$63,16+$B$4)),"")</f>
        <v/>
      </c>
      <c r="AE19" s="225">
        <f t="shared" si="14"/>
        <v>18</v>
      </c>
    </row>
    <row r="20" spans="1:31" x14ac:dyDescent="0.25">
      <c r="A20" s="28">
        <v>7</v>
      </c>
      <c r="B20" s="29" t="str">
        <f>IF(A20&lt;&gt;0,VLOOKUP(A20,Liste!$A$10:$D$59,4,FALSE),"")</f>
        <v>AURIDON Jean-Paul</v>
      </c>
      <c r="C20" s="58">
        <f t="shared" si="3"/>
        <v>280</v>
      </c>
      <c r="D20" s="58">
        <f t="shared" si="4"/>
        <v>0</v>
      </c>
      <c r="E20" s="58">
        <f t="shared" si="5"/>
        <v>0</v>
      </c>
      <c r="F20" s="78">
        <f t="shared" si="6"/>
        <v>280</v>
      </c>
      <c r="G20" s="131">
        <v>3</v>
      </c>
      <c r="H20" s="132"/>
      <c r="I20" s="78">
        <f t="shared" si="7"/>
        <v>1</v>
      </c>
      <c r="J20" s="78">
        <f t="shared" si="8"/>
        <v>280</v>
      </c>
      <c r="K20" s="33">
        <v>1</v>
      </c>
      <c r="L20" s="34"/>
      <c r="M20" s="34"/>
      <c r="N20" s="214" t="str">
        <f t="shared" si="9"/>
        <v/>
      </c>
      <c r="O20" s="144" t="str">
        <f t="shared" si="10"/>
        <v/>
      </c>
      <c r="P20" s="20">
        <f t="shared" si="11"/>
        <v>1</v>
      </c>
      <c r="Q20" s="221">
        <f>IF(A20&lt;&gt;0,VLOOKUP(A20,Liste!$A$10:$K$59,8,FALSE),"")</f>
        <v>280</v>
      </c>
      <c r="R20" s="33"/>
      <c r="S20" s="33"/>
      <c r="T20" s="33"/>
      <c r="U20" s="33"/>
      <c r="V20" s="33"/>
      <c r="W20" s="33"/>
      <c r="X20" s="33"/>
      <c r="Y20" s="33"/>
      <c r="Z20" s="33"/>
      <c r="AA20" s="33"/>
      <c r="AB20" s="222">
        <f t="shared" si="12"/>
        <v>1</v>
      </c>
      <c r="AC20" s="224">
        <f t="shared" si="13"/>
        <v>0</v>
      </c>
      <c r="AD20" s="224" t="str">
        <f>IF(AC20&gt;3,(SUMIF($H$14:$H$63,A20,$J$14:$J$63)+VLOOKUP(A20,$A$13:AA$63,16+$B$4)),"")</f>
        <v/>
      </c>
      <c r="AE20" s="225">
        <f t="shared" si="14"/>
        <v>7</v>
      </c>
    </row>
    <row r="21" spans="1:31" x14ac:dyDescent="0.25">
      <c r="A21" s="28">
        <v>23</v>
      </c>
      <c r="B21" s="29" t="str">
        <f>IF(A21&lt;&gt;0,VLOOKUP(A21,Liste!$A$10:$D$59,4,FALSE),"")</f>
        <v>SEBARDIN Suzanne</v>
      </c>
      <c r="C21" s="58">
        <f t="shared" si="3"/>
        <v>390</v>
      </c>
      <c r="D21" s="58">
        <f t="shared" si="4"/>
        <v>0</v>
      </c>
      <c r="E21" s="58">
        <f t="shared" si="5"/>
        <v>0</v>
      </c>
      <c r="F21" s="78">
        <f t="shared" si="6"/>
        <v>390</v>
      </c>
      <c r="G21" s="131">
        <v>3</v>
      </c>
      <c r="H21" s="132"/>
      <c r="I21" s="78">
        <f t="shared" si="7"/>
        <v>1</v>
      </c>
      <c r="J21" s="78">
        <f t="shared" si="8"/>
        <v>390</v>
      </c>
      <c r="K21" s="33">
        <v>1</v>
      </c>
      <c r="L21" s="34"/>
      <c r="M21" s="34"/>
      <c r="N21" s="214" t="str">
        <f t="shared" si="9"/>
        <v/>
      </c>
      <c r="O21" s="144" t="str">
        <f t="shared" si="10"/>
        <v/>
      </c>
      <c r="P21" s="20">
        <f t="shared" si="11"/>
        <v>1</v>
      </c>
      <c r="Q21" s="221">
        <f>IF(A21&lt;&gt;0,VLOOKUP(A21,Liste!$A$10:$K$59,8,FALSE),"")</f>
        <v>390</v>
      </c>
      <c r="R21" s="33"/>
      <c r="S21" s="33"/>
      <c r="T21" s="33"/>
      <c r="U21" s="33"/>
      <c r="V21" s="33"/>
      <c r="W21" s="33"/>
      <c r="X21" s="33"/>
      <c r="Y21" s="33"/>
      <c r="Z21" s="33"/>
      <c r="AA21" s="33"/>
      <c r="AB21" s="222">
        <f t="shared" si="12"/>
        <v>1</v>
      </c>
      <c r="AC21" s="224">
        <f t="shared" si="13"/>
        <v>0</v>
      </c>
      <c r="AD21" s="224" t="str">
        <f>IF(AC21&gt;3,(SUMIF($H$14:$H$63,A21,$J$14:$J$63)+VLOOKUP(A21,$A$13:AA$63,16+$B$4)),"")</f>
        <v/>
      </c>
      <c r="AE21" s="225">
        <f t="shared" si="14"/>
        <v>23</v>
      </c>
    </row>
    <row r="22" spans="1:31" x14ac:dyDescent="0.25">
      <c r="A22" s="28">
        <v>5</v>
      </c>
      <c r="B22" s="29" t="str">
        <f>IF(A22&lt;&gt;0,VLOOKUP(A22,Liste!$A$10:$D$59,4,FALSE),"")</f>
        <v>ASSALADIN Julie</v>
      </c>
      <c r="C22" s="58">
        <f t="shared" si="3"/>
        <v>0</v>
      </c>
      <c r="D22" s="58">
        <f t="shared" si="4"/>
        <v>665</v>
      </c>
      <c r="E22" s="58">
        <f t="shared" si="5"/>
        <v>0</v>
      </c>
      <c r="F22" s="78">
        <f t="shared" si="6"/>
        <v>665</v>
      </c>
      <c r="G22" s="131">
        <v>1</v>
      </c>
      <c r="H22" s="132"/>
      <c r="I22" s="78">
        <f t="shared" si="7"/>
        <v>1</v>
      </c>
      <c r="J22" s="78">
        <f t="shared" si="8"/>
        <v>665</v>
      </c>
      <c r="K22" s="33"/>
      <c r="L22" s="34">
        <v>1</v>
      </c>
      <c r="M22" s="34"/>
      <c r="N22" s="214" t="str">
        <f t="shared" si="9"/>
        <v/>
      </c>
      <c r="O22" s="144" t="str">
        <f t="shared" si="10"/>
        <v/>
      </c>
      <c r="P22" s="20">
        <f t="shared" si="11"/>
        <v>2</v>
      </c>
      <c r="Q22" s="221">
        <f>IF(A22&lt;&gt;0,VLOOKUP(A22,Liste!$A$10:$K$59,8,FALSE),"")</f>
        <v>665</v>
      </c>
      <c r="R22" s="33">
        <v>20</v>
      </c>
      <c r="S22" s="33"/>
      <c r="T22" s="33"/>
      <c r="U22" s="33"/>
      <c r="V22" s="33"/>
      <c r="W22" s="33"/>
      <c r="X22" s="33"/>
      <c r="Y22" s="33"/>
      <c r="Z22" s="33"/>
      <c r="AA22" s="33"/>
      <c r="AB22" s="222">
        <f t="shared" si="12"/>
        <v>1</v>
      </c>
      <c r="AC22" s="224">
        <f t="shared" si="13"/>
        <v>2</v>
      </c>
      <c r="AD22" s="224" t="str">
        <f>IF(AC22&gt;3,(SUMIF($H$14:$H$63,A22,$J$14:$J$63)+VLOOKUP(A22,$A$13:AA$63,16+$B$4)),"")</f>
        <v/>
      </c>
      <c r="AE22" s="225">
        <f t="shared" si="14"/>
        <v>5</v>
      </c>
    </row>
    <row r="23" spans="1:31" x14ac:dyDescent="0.25">
      <c r="A23" s="28">
        <v>13</v>
      </c>
      <c r="B23" s="29" t="str">
        <f>IF(A23&lt;&gt;0,VLOOKUP(A23,Liste!$A$10:$D$59,4,FALSE),"")</f>
        <v>BARMAN Marcel</v>
      </c>
      <c r="C23" s="58">
        <f t="shared" si="3"/>
        <v>0</v>
      </c>
      <c r="D23" s="58">
        <f t="shared" si="4"/>
        <v>320</v>
      </c>
      <c r="E23" s="58">
        <f t="shared" si="5"/>
        <v>0</v>
      </c>
      <c r="F23" s="78">
        <f t="shared" si="6"/>
        <v>320</v>
      </c>
      <c r="G23" s="131">
        <v>1</v>
      </c>
      <c r="H23" s="132"/>
      <c r="I23" s="78">
        <f t="shared" si="7"/>
        <v>1</v>
      </c>
      <c r="J23" s="78">
        <f t="shared" si="8"/>
        <v>320</v>
      </c>
      <c r="K23" s="33"/>
      <c r="L23" s="34">
        <v>1</v>
      </c>
      <c r="M23" s="34"/>
      <c r="N23" s="214" t="str">
        <f t="shared" si="9"/>
        <v/>
      </c>
      <c r="O23" s="144" t="str">
        <f t="shared" si="10"/>
        <v/>
      </c>
      <c r="P23" s="20">
        <f t="shared" si="11"/>
        <v>2</v>
      </c>
      <c r="Q23" s="221">
        <f>IF(A23&lt;&gt;0,VLOOKUP(A23,Liste!$A$10:$K$59,8,FALSE),"")</f>
        <v>320</v>
      </c>
      <c r="R23" s="33">
        <v>10</v>
      </c>
      <c r="S23" s="33"/>
      <c r="T23" s="33"/>
      <c r="U23" s="33"/>
      <c r="V23" s="33"/>
      <c r="W23" s="33"/>
      <c r="X23" s="33"/>
      <c r="Y23" s="33"/>
      <c r="Z23" s="33"/>
      <c r="AA23" s="33"/>
      <c r="AB23" s="222">
        <f t="shared" si="12"/>
        <v>1</v>
      </c>
      <c r="AC23" s="224">
        <f t="shared" si="13"/>
        <v>0</v>
      </c>
      <c r="AD23" s="224" t="str">
        <f>IF(AC23&gt;3,(SUMIF($H$14:$H$63,A23,$J$14:$J$63)+VLOOKUP(A23,$A$13:AA$63,16+$B$4)),"")</f>
        <v/>
      </c>
      <c r="AE23" s="225">
        <f t="shared" si="14"/>
        <v>13</v>
      </c>
    </row>
    <row r="24" spans="1:31" x14ac:dyDescent="0.25">
      <c r="A24" s="28">
        <v>10</v>
      </c>
      <c r="B24" s="29" t="str">
        <f>IF(A24&lt;&gt;0,VLOOKUP(A24,Liste!$A$10:$D$59,4,FALSE),"")</f>
        <v>BALDARINI Marc</v>
      </c>
      <c r="C24" s="58">
        <f t="shared" si="3"/>
        <v>0</v>
      </c>
      <c r="D24" s="58">
        <f t="shared" si="4"/>
        <v>385</v>
      </c>
      <c r="E24" s="58">
        <f t="shared" si="5"/>
        <v>0</v>
      </c>
      <c r="F24" s="78">
        <f t="shared" si="6"/>
        <v>385</v>
      </c>
      <c r="G24" s="131">
        <v>1</v>
      </c>
      <c r="H24" s="132">
        <v>15</v>
      </c>
      <c r="I24" s="78">
        <f t="shared" si="7"/>
        <v>1</v>
      </c>
      <c r="J24" s="78">
        <f t="shared" si="8"/>
        <v>385</v>
      </c>
      <c r="K24" s="33"/>
      <c r="L24" s="34">
        <v>1</v>
      </c>
      <c r="M24" s="34"/>
      <c r="N24" s="214" t="str">
        <f t="shared" si="9"/>
        <v/>
      </c>
      <c r="O24" s="144" t="str">
        <f t="shared" si="10"/>
        <v/>
      </c>
      <c r="P24" s="20">
        <f t="shared" si="11"/>
        <v>2</v>
      </c>
      <c r="Q24" s="221">
        <f>IF(A24&lt;&gt;0,VLOOKUP(A24,Liste!$A$10:$K$59,8,FALSE),"")</f>
        <v>385</v>
      </c>
      <c r="R24" s="33">
        <v>80</v>
      </c>
      <c r="S24" s="33"/>
      <c r="T24" s="33"/>
      <c r="U24" s="33"/>
      <c r="V24" s="33"/>
      <c r="W24" s="33"/>
      <c r="X24" s="33"/>
      <c r="Y24" s="33"/>
      <c r="Z24" s="33"/>
      <c r="AA24" s="33"/>
      <c r="AB24" s="222">
        <f t="shared" si="12"/>
        <v>16</v>
      </c>
      <c r="AC24" s="224">
        <f t="shared" si="13"/>
        <v>0</v>
      </c>
      <c r="AD24" s="224" t="str">
        <f>IF(AC24&gt;3,(SUMIF($H$14:$H$63,A24,$J$14:$J$63)+VLOOKUP(A24,$A$13:AA$63,16+$B$4)),"")</f>
        <v/>
      </c>
      <c r="AE24" s="225">
        <f t="shared" si="14"/>
        <v>15.5</v>
      </c>
    </row>
    <row r="25" spans="1:31" x14ac:dyDescent="0.25">
      <c r="A25" s="28">
        <v>21</v>
      </c>
      <c r="B25" s="29" t="str">
        <f>IF(A25&lt;&gt;0,VLOOKUP(A25,Liste!$A$10:$D$59,4,FALSE),"")</f>
        <v>DAGUILLON Jean-Pierre</v>
      </c>
      <c r="C25" s="58">
        <f t="shared" si="3"/>
        <v>0</v>
      </c>
      <c r="D25" s="58">
        <f t="shared" si="4"/>
        <v>400</v>
      </c>
      <c r="E25" s="58">
        <f t="shared" si="5"/>
        <v>0</v>
      </c>
      <c r="F25" s="78">
        <f t="shared" si="6"/>
        <v>400</v>
      </c>
      <c r="G25" s="131">
        <v>1</v>
      </c>
      <c r="H25" s="132">
        <v>15</v>
      </c>
      <c r="I25" s="78">
        <f t="shared" si="7"/>
        <v>1</v>
      </c>
      <c r="J25" s="78">
        <f t="shared" si="8"/>
        <v>400</v>
      </c>
      <c r="K25" s="33"/>
      <c r="L25" s="34">
        <v>1</v>
      </c>
      <c r="M25" s="34"/>
      <c r="N25" s="214" t="str">
        <f t="shared" si="9"/>
        <v/>
      </c>
      <c r="O25" s="144" t="str">
        <f t="shared" si="10"/>
        <v/>
      </c>
      <c r="P25" s="20">
        <f t="shared" si="11"/>
        <v>2</v>
      </c>
      <c r="Q25" s="221">
        <f>IF(A25&lt;&gt;0,VLOOKUP(A25,Liste!$A$10:$K$59,8,FALSE),"")</f>
        <v>400</v>
      </c>
      <c r="R25" s="33">
        <v>20</v>
      </c>
      <c r="S25" s="33"/>
      <c r="T25" s="33"/>
      <c r="U25" s="33"/>
      <c r="V25" s="33"/>
      <c r="W25" s="33"/>
      <c r="X25" s="33"/>
      <c r="Y25" s="33"/>
      <c r="Z25" s="33"/>
      <c r="AA25" s="33"/>
      <c r="AB25" s="222">
        <f t="shared" si="12"/>
        <v>16</v>
      </c>
      <c r="AC25" s="224">
        <f t="shared" si="13"/>
        <v>0</v>
      </c>
      <c r="AD25" s="224" t="str">
        <f>IF(AC25&gt;3,(SUMIF($H$14:$H$63,A25,$J$14:$J$63)+VLOOKUP(A25,$A$13:AA$63,16+$B$4)),"")</f>
        <v/>
      </c>
      <c r="AE25" s="225">
        <f t="shared" si="14"/>
        <v>15.5</v>
      </c>
    </row>
    <row r="26" spans="1:31" x14ac:dyDescent="0.25">
      <c r="A26" s="28">
        <v>8</v>
      </c>
      <c r="B26" s="29" t="str">
        <f>IF(A26&lt;&gt;0,VLOOKUP(A26,Liste!$A$10:$D$59,4,FALSE),"")</f>
        <v>BACHELIER Paul</v>
      </c>
      <c r="C26" s="58">
        <f t="shared" si="3"/>
        <v>0</v>
      </c>
      <c r="D26" s="58">
        <f t="shared" si="4"/>
        <v>355</v>
      </c>
      <c r="E26" s="58">
        <f t="shared" si="5"/>
        <v>0</v>
      </c>
      <c r="F26" s="78">
        <f t="shared" si="6"/>
        <v>355</v>
      </c>
      <c r="G26" s="131">
        <v>1</v>
      </c>
      <c r="H26" s="132">
        <v>20</v>
      </c>
      <c r="I26" s="78">
        <f t="shared" si="7"/>
        <v>1</v>
      </c>
      <c r="J26" s="78">
        <f t="shared" si="8"/>
        <v>355</v>
      </c>
      <c r="K26" s="33"/>
      <c r="L26" s="34">
        <v>1</v>
      </c>
      <c r="M26" s="34"/>
      <c r="N26" s="214" t="str">
        <f t="shared" si="9"/>
        <v/>
      </c>
      <c r="O26" s="144" t="str">
        <f t="shared" si="10"/>
        <v/>
      </c>
      <c r="P26" s="20">
        <f t="shared" si="11"/>
        <v>2</v>
      </c>
      <c r="Q26" s="221">
        <f>IF(A26&lt;&gt;0,VLOOKUP(A26,Liste!$A$10:$K$59,8,FALSE),"")</f>
        <v>355</v>
      </c>
      <c r="R26" s="33">
        <v>20</v>
      </c>
      <c r="S26" s="33"/>
      <c r="T26" s="33"/>
      <c r="U26" s="33"/>
      <c r="V26" s="33"/>
      <c r="W26" s="33"/>
      <c r="X26" s="33"/>
      <c r="Y26" s="33"/>
      <c r="Z26" s="33"/>
      <c r="AA26" s="33"/>
      <c r="AB26" s="222">
        <f t="shared" si="12"/>
        <v>21</v>
      </c>
      <c r="AC26" s="224">
        <f t="shared" si="13"/>
        <v>0</v>
      </c>
      <c r="AD26" s="224" t="str">
        <f>IF(AC26&gt;3,(SUMIF($H$14:$H$63,A26,$J$14:$J$63)+VLOOKUP(A26,$A$13:AA$63,16+$B$4)),"")</f>
        <v/>
      </c>
      <c r="AE26" s="225">
        <f t="shared" si="14"/>
        <v>20.5</v>
      </c>
    </row>
    <row r="27" spans="1:31" x14ac:dyDescent="0.25">
      <c r="A27" s="28">
        <v>24</v>
      </c>
      <c r="B27" s="29" t="str">
        <f>IF(A27&lt;&gt;0,VLOOKUP(A27,Liste!$A$10:$D$59,4,FALSE),"")</f>
        <v>AUBERT Pierre</v>
      </c>
      <c r="C27" s="58">
        <f t="shared" si="3"/>
        <v>0</v>
      </c>
      <c r="D27" s="58">
        <f t="shared" si="4"/>
        <v>315</v>
      </c>
      <c r="E27" s="58">
        <f t="shared" si="5"/>
        <v>0</v>
      </c>
      <c r="F27" s="78">
        <f t="shared" si="6"/>
        <v>315</v>
      </c>
      <c r="G27" s="131">
        <v>1</v>
      </c>
      <c r="H27" s="132"/>
      <c r="I27" s="78">
        <f t="shared" si="7"/>
        <v>1</v>
      </c>
      <c r="J27" s="78">
        <f t="shared" si="8"/>
        <v>315</v>
      </c>
      <c r="K27" s="33"/>
      <c r="L27" s="34">
        <v>1</v>
      </c>
      <c r="M27" s="34"/>
      <c r="N27" s="214" t="str">
        <f t="shared" si="9"/>
        <v/>
      </c>
      <c r="O27" s="144" t="str">
        <f t="shared" si="10"/>
        <v/>
      </c>
      <c r="P27" s="20">
        <f t="shared" si="11"/>
        <v>2</v>
      </c>
      <c r="Q27" s="221">
        <f>IF(A27&lt;&gt;0,VLOOKUP(A27,Liste!$A$10:$K$59,8,FALSE),"")</f>
        <v>315</v>
      </c>
      <c r="R27" s="33">
        <v>30</v>
      </c>
      <c r="S27" s="33"/>
      <c r="T27" s="33"/>
      <c r="U27" s="33"/>
      <c r="V27" s="33"/>
      <c r="W27" s="33"/>
      <c r="X27" s="33"/>
      <c r="Y27" s="33"/>
      <c r="Z27" s="33"/>
      <c r="AA27" s="33"/>
      <c r="AB27" s="222">
        <f t="shared" si="12"/>
        <v>1</v>
      </c>
      <c r="AC27" s="224">
        <f t="shared" si="13"/>
        <v>0</v>
      </c>
      <c r="AD27" s="224" t="str">
        <f>IF(AC27&gt;3,(SUMIF($H$14:$H$63,A27,$J$14:$J$63)+VLOOKUP(A27,$A$13:AA$63,16+$B$4)),"")</f>
        <v/>
      </c>
      <c r="AE27" s="225">
        <f t="shared" si="14"/>
        <v>24</v>
      </c>
    </row>
    <row r="28" spans="1:31" x14ac:dyDescent="0.25">
      <c r="A28" s="28">
        <v>19</v>
      </c>
      <c r="B28" s="29" t="str">
        <f>IF(A28&lt;&gt;0,VLOOKUP(A28,Liste!$A$10:$D$59,4,FALSE),"")</f>
        <v>BICHEMONT Paul</v>
      </c>
      <c r="C28" s="58">
        <f t="shared" si="3"/>
        <v>0</v>
      </c>
      <c r="D28" s="58">
        <f t="shared" si="4"/>
        <v>480</v>
      </c>
      <c r="E28" s="58">
        <f t="shared" si="5"/>
        <v>0</v>
      </c>
      <c r="F28" s="78">
        <f t="shared" si="6"/>
        <v>480</v>
      </c>
      <c r="G28" s="131">
        <v>3</v>
      </c>
      <c r="H28" s="132"/>
      <c r="I28" s="78">
        <f t="shared" si="7"/>
        <v>1</v>
      </c>
      <c r="J28" s="78">
        <f t="shared" si="8"/>
        <v>480</v>
      </c>
      <c r="K28" s="33"/>
      <c r="L28" s="34">
        <v>1</v>
      </c>
      <c r="M28" s="34"/>
      <c r="N28" s="214" t="str">
        <f t="shared" si="9"/>
        <v/>
      </c>
      <c r="O28" s="144" t="str">
        <f t="shared" si="10"/>
        <v/>
      </c>
      <c r="P28" s="20">
        <f t="shared" si="11"/>
        <v>2</v>
      </c>
      <c r="Q28" s="221">
        <f>IF(A28&lt;&gt;0,VLOOKUP(A28,Liste!$A$10:$K$59,8,FALSE),"")</f>
        <v>480</v>
      </c>
      <c r="R28" s="33"/>
      <c r="S28" s="33"/>
      <c r="T28" s="33"/>
      <c r="U28" s="33"/>
      <c r="V28" s="33"/>
      <c r="W28" s="33"/>
      <c r="X28" s="33"/>
      <c r="Y28" s="33"/>
      <c r="Z28" s="33"/>
      <c r="AA28" s="33"/>
      <c r="AB28" s="222">
        <f t="shared" si="12"/>
        <v>1</v>
      </c>
      <c r="AC28" s="224">
        <f t="shared" si="13"/>
        <v>0</v>
      </c>
      <c r="AD28" s="224" t="str">
        <f>IF(AC28&gt;3,(SUMIF($H$14:$H$63,A28,$J$14:$J$63)+VLOOKUP(A28,$A$13:AA$63,16+$B$4)),"")</f>
        <v/>
      </c>
      <c r="AE28" s="225">
        <f t="shared" si="14"/>
        <v>19</v>
      </c>
    </row>
    <row r="29" spans="1:31" x14ac:dyDescent="0.25">
      <c r="A29" s="28">
        <v>20</v>
      </c>
      <c r="B29" s="29" t="str">
        <f>IF(A29&lt;&gt;0,VLOOKUP(A29,Liste!$A$10:$D$59,4,FALSE),"")</f>
        <v>CARTON Louis</v>
      </c>
      <c r="C29" s="58">
        <f t="shared" si="3"/>
        <v>0</v>
      </c>
      <c r="D29" s="58">
        <f t="shared" si="4"/>
        <v>0</v>
      </c>
      <c r="E29" s="58">
        <f t="shared" si="5"/>
        <v>445</v>
      </c>
      <c r="F29" s="78">
        <f t="shared" si="6"/>
        <v>445</v>
      </c>
      <c r="G29" s="131">
        <v>1</v>
      </c>
      <c r="H29" s="132">
        <v>5</v>
      </c>
      <c r="I29" s="78">
        <f t="shared" si="7"/>
        <v>1</v>
      </c>
      <c r="J29" s="78">
        <f t="shared" si="8"/>
        <v>445</v>
      </c>
      <c r="K29" s="33"/>
      <c r="L29" s="34"/>
      <c r="M29" s="34">
        <v>1</v>
      </c>
      <c r="N29" s="214" t="str">
        <f t="shared" si="9"/>
        <v/>
      </c>
      <c r="O29" s="144" t="str">
        <f t="shared" si="10"/>
        <v/>
      </c>
      <c r="P29" s="20">
        <f t="shared" si="11"/>
        <v>3</v>
      </c>
      <c r="Q29" s="221">
        <f>IF(A29&lt;&gt;0,VLOOKUP(A29,Liste!$A$10:$K$59,8,FALSE),"")</f>
        <v>445</v>
      </c>
      <c r="R29" s="33">
        <v>20</v>
      </c>
      <c r="S29" s="33"/>
      <c r="T29" s="33"/>
      <c r="U29" s="33"/>
      <c r="V29" s="33"/>
      <c r="W29" s="33"/>
      <c r="X29" s="33"/>
      <c r="Y29" s="33"/>
      <c r="Z29" s="33"/>
      <c r="AA29" s="33"/>
      <c r="AB29" s="222">
        <f t="shared" si="12"/>
        <v>6</v>
      </c>
      <c r="AC29" s="224">
        <f t="shared" si="13"/>
        <v>3</v>
      </c>
      <c r="AD29" s="224" t="str">
        <f>IF(AC29&gt;3,(SUMIF($H$14:$H$63,A29,$J$14:$J$63)+VLOOKUP(A29,$A$13:AA$63,16+$B$4)),"")</f>
        <v/>
      </c>
      <c r="AE29" s="225">
        <f t="shared" si="14"/>
        <v>5.5</v>
      </c>
    </row>
    <row r="30" spans="1:31" x14ac:dyDescent="0.25">
      <c r="A30" s="28">
        <v>25</v>
      </c>
      <c r="B30" s="29" t="str">
        <f>IF(A30&lt;&gt;0,VLOOKUP(A30,Liste!$A$10:$D$59,4,FALSE),"")</f>
        <v>WEBER Jean Pierre</v>
      </c>
      <c r="C30" s="58">
        <f t="shared" si="3"/>
        <v>0</v>
      </c>
      <c r="D30" s="58">
        <f t="shared" si="4"/>
        <v>0</v>
      </c>
      <c r="E30" s="58">
        <f t="shared" si="5"/>
        <v>480</v>
      </c>
      <c r="F30" s="78">
        <f t="shared" si="6"/>
        <v>480</v>
      </c>
      <c r="G30" s="131">
        <v>1</v>
      </c>
      <c r="H30" s="132">
        <v>5</v>
      </c>
      <c r="I30" s="78">
        <f t="shared" si="7"/>
        <v>1</v>
      </c>
      <c r="J30" s="78">
        <f t="shared" si="8"/>
        <v>480</v>
      </c>
      <c r="K30" s="33"/>
      <c r="L30" s="34"/>
      <c r="M30" s="34">
        <v>1</v>
      </c>
      <c r="N30" s="214" t="str">
        <f t="shared" si="9"/>
        <v/>
      </c>
      <c r="O30" s="144" t="str">
        <f t="shared" si="10"/>
        <v/>
      </c>
      <c r="P30" s="20">
        <f t="shared" si="11"/>
        <v>3</v>
      </c>
      <c r="Q30" s="221">
        <f>IF(A30&lt;&gt;0,VLOOKUP(A30,Liste!$A$10:$K$59,8,FALSE),"")</f>
        <v>480</v>
      </c>
      <c r="R30" s="33">
        <v>60</v>
      </c>
      <c r="S30" s="33"/>
      <c r="T30" s="33"/>
      <c r="U30" s="33"/>
      <c r="V30" s="33"/>
      <c r="W30" s="33"/>
      <c r="X30" s="33"/>
      <c r="Y30" s="33"/>
      <c r="Z30" s="33"/>
      <c r="AA30" s="33"/>
      <c r="AB30" s="222">
        <f t="shared" si="12"/>
        <v>6</v>
      </c>
      <c r="AC30" s="224">
        <f t="shared" si="13"/>
        <v>0</v>
      </c>
      <c r="AD30" s="224" t="str">
        <f>IF(AC30&gt;3,(SUMIF($H$14:$H$63,A30,$J$14:$J$63)+VLOOKUP(A30,$A$13:AA$63,16+$B$4)),"")</f>
        <v/>
      </c>
      <c r="AE30" s="225">
        <f t="shared" si="14"/>
        <v>5.5</v>
      </c>
    </row>
    <row r="31" spans="1:31" x14ac:dyDescent="0.25">
      <c r="A31" s="28">
        <v>14</v>
      </c>
      <c r="B31" s="29" t="str">
        <f>IF(A31&lt;&gt;0,VLOOKUP(A31,Liste!$A$10:$D$59,4,FALSE),"")</f>
        <v>BATEMONT Jeanne</v>
      </c>
      <c r="C31" s="58">
        <f t="shared" si="3"/>
        <v>0</v>
      </c>
      <c r="D31" s="58">
        <f t="shared" si="4"/>
        <v>0</v>
      </c>
      <c r="E31" s="58">
        <f t="shared" si="5"/>
        <v>435</v>
      </c>
      <c r="F31" s="78">
        <f t="shared" si="6"/>
        <v>435</v>
      </c>
      <c r="G31" s="131">
        <v>1</v>
      </c>
      <c r="H31" s="132"/>
      <c r="I31" s="78">
        <f t="shared" si="7"/>
        <v>1</v>
      </c>
      <c r="J31" s="78">
        <f t="shared" si="8"/>
        <v>435</v>
      </c>
      <c r="K31" s="33"/>
      <c r="L31" s="34"/>
      <c r="M31" s="34">
        <v>1</v>
      </c>
      <c r="N31" s="214" t="str">
        <f t="shared" si="9"/>
        <v/>
      </c>
      <c r="O31" s="144" t="str">
        <f t="shared" si="10"/>
        <v/>
      </c>
      <c r="P31" s="20">
        <f t="shared" si="11"/>
        <v>3</v>
      </c>
      <c r="Q31" s="221">
        <f>IF(A31&lt;&gt;0,VLOOKUP(A31,Liste!$A$10:$K$59,8,FALSE),"")</f>
        <v>435</v>
      </c>
      <c r="R31" s="33">
        <v>70</v>
      </c>
      <c r="S31" s="33"/>
      <c r="T31" s="33"/>
      <c r="U31" s="33"/>
      <c r="V31" s="33"/>
      <c r="W31" s="33"/>
      <c r="X31" s="33"/>
      <c r="Y31" s="33"/>
      <c r="Z31" s="33"/>
      <c r="AA31" s="33"/>
      <c r="AB31" s="222">
        <f t="shared" si="12"/>
        <v>1</v>
      </c>
      <c r="AC31" s="224">
        <f t="shared" si="13"/>
        <v>0</v>
      </c>
      <c r="AD31" s="224" t="str">
        <f>IF(AC31&gt;3,(SUMIF($H$14:$H$63,A31,$J$14:$J$63)+VLOOKUP(A31,$A$13:AA$63,16+$B$4)),"")</f>
        <v/>
      </c>
      <c r="AE31" s="225">
        <f t="shared" si="14"/>
        <v>14</v>
      </c>
    </row>
    <row r="32" spans="1:31" x14ac:dyDescent="0.25">
      <c r="A32" s="28">
        <v>11</v>
      </c>
      <c r="B32" s="29" t="str">
        <f>IF(A32&lt;&gt;0,VLOOKUP(A32,Liste!$A$10:$D$59,4,FALSE),"")</f>
        <v>BARATIN Isaac</v>
      </c>
      <c r="C32" s="58">
        <f t="shared" si="3"/>
        <v>0</v>
      </c>
      <c r="D32" s="58">
        <f t="shared" si="4"/>
        <v>0</v>
      </c>
      <c r="E32" s="58">
        <f t="shared" si="5"/>
        <v>355</v>
      </c>
      <c r="F32" s="78">
        <f t="shared" si="6"/>
        <v>355</v>
      </c>
      <c r="G32" s="131">
        <v>1</v>
      </c>
      <c r="H32" s="132">
        <v>15</v>
      </c>
      <c r="I32" s="78">
        <f t="shared" si="7"/>
        <v>1</v>
      </c>
      <c r="J32" s="78">
        <f t="shared" si="8"/>
        <v>355</v>
      </c>
      <c r="K32" s="33"/>
      <c r="L32" s="34"/>
      <c r="M32" s="34">
        <v>1</v>
      </c>
      <c r="N32" s="214" t="str">
        <f t="shared" si="9"/>
        <v/>
      </c>
      <c r="O32" s="144" t="str">
        <f t="shared" si="10"/>
        <v/>
      </c>
      <c r="P32" s="20">
        <f t="shared" si="11"/>
        <v>3</v>
      </c>
      <c r="Q32" s="221">
        <f>IF(A32&lt;&gt;0,VLOOKUP(A32,Liste!$A$10:$K$59,8,FALSE),"")</f>
        <v>355</v>
      </c>
      <c r="R32" s="33">
        <v>110</v>
      </c>
      <c r="S32" s="33"/>
      <c r="T32" s="33"/>
      <c r="U32" s="33"/>
      <c r="V32" s="33"/>
      <c r="W32" s="33"/>
      <c r="X32" s="33"/>
      <c r="Y32" s="33"/>
      <c r="Z32" s="33"/>
      <c r="AA32" s="33"/>
      <c r="AB32" s="222">
        <f t="shared" si="12"/>
        <v>16</v>
      </c>
      <c r="AC32" s="224">
        <f t="shared" si="13"/>
        <v>0</v>
      </c>
      <c r="AD32" s="224" t="str">
        <f>IF(AC32&gt;3,(SUMIF($H$14:$H$63,A32,$J$14:$J$63)+VLOOKUP(A32,$A$13:AA$63,16+$B$4)),"")</f>
        <v/>
      </c>
      <c r="AE32" s="225">
        <f t="shared" si="14"/>
        <v>15.5</v>
      </c>
    </row>
    <row r="33" spans="1:31" x14ac:dyDescent="0.25">
      <c r="A33" s="28">
        <v>17</v>
      </c>
      <c r="B33" s="29" t="str">
        <f>IF(A33&lt;&gt;0,VLOOKUP(A33,Liste!$A$10:$D$59,4,FALSE),"")</f>
        <v>BERTELOT Marcel</v>
      </c>
      <c r="C33" s="58">
        <f t="shared" si="3"/>
        <v>0</v>
      </c>
      <c r="D33" s="58">
        <f t="shared" si="4"/>
        <v>0</v>
      </c>
      <c r="E33" s="58">
        <f t="shared" si="5"/>
        <v>395</v>
      </c>
      <c r="F33" s="78">
        <f t="shared" si="6"/>
        <v>395</v>
      </c>
      <c r="G33" s="131">
        <v>1</v>
      </c>
      <c r="H33" s="132">
        <v>20</v>
      </c>
      <c r="I33" s="78">
        <f t="shared" si="7"/>
        <v>1</v>
      </c>
      <c r="J33" s="78">
        <f t="shared" si="8"/>
        <v>395</v>
      </c>
      <c r="K33" s="33"/>
      <c r="L33" s="34"/>
      <c r="M33" s="34">
        <v>1</v>
      </c>
      <c r="N33" s="214" t="str">
        <f t="shared" si="9"/>
        <v/>
      </c>
      <c r="O33" s="144" t="str">
        <f t="shared" si="10"/>
        <v/>
      </c>
      <c r="P33" s="20">
        <f t="shared" si="11"/>
        <v>3</v>
      </c>
      <c r="Q33" s="221">
        <f>IF(A33&lt;&gt;0,VLOOKUP(A33,Liste!$A$10:$K$59,8,FALSE),"")</f>
        <v>395</v>
      </c>
      <c r="R33" s="33">
        <v>80</v>
      </c>
      <c r="S33" s="33"/>
      <c r="T33" s="33"/>
      <c r="U33" s="33"/>
      <c r="V33" s="33"/>
      <c r="W33" s="33"/>
      <c r="X33" s="33"/>
      <c r="Y33" s="33"/>
      <c r="Z33" s="33"/>
      <c r="AA33" s="33"/>
      <c r="AB33" s="222">
        <f t="shared" si="12"/>
        <v>21</v>
      </c>
      <c r="AC33" s="224">
        <f t="shared" si="13"/>
        <v>0</v>
      </c>
      <c r="AD33" s="224" t="str">
        <f>IF(AC33&gt;3,(SUMIF($H$14:$H$63,A33,$J$14:$J$63)+VLOOKUP(A33,$A$13:AA$63,16+$B$4)),"")</f>
        <v/>
      </c>
      <c r="AE33" s="225">
        <f t="shared" si="14"/>
        <v>20.5</v>
      </c>
    </row>
    <row r="34" spans="1:31" x14ac:dyDescent="0.25">
      <c r="A34" s="28">
        <v>16</v>
      </c>
      <c r="B34" s="29" t="str">
        <f>IF(A34&lt;&gt;0,VLOOKUP(A34,Liste!$A$10:$D$59,4,FALSE),"")</f>
        <v>BELARDIN Denis</v>
      </c>
      <c r="C34" s="58">
        <f t="shared" si="3"/>
        <v>0</v>
      </c>
      <c r="D34" s="58">
        <f t="shared" si="4"/>
        <v>0</v>
      </c>
      <c r="E34" s="58">
        <f t="shared" si="5"/>
        <v>390</v>
      </c>
      <c r="F34" s="78">
        <f t="shared" si="6"/>
        <v>390</v>
      </c>
      <c r="G34" s="131">
        <v>3</v>
      </c>
      <c r="H34" s="132"/>
      <c r="I34" s="78">
        <f t="shared" si="7"/>
        <v>1</v>
      </c>
      <c r="J34" s="78">
        <f t="shared" si="8"/>
        <v>390</v>
      </c>
      <c r="K34" s="33"/>
      <c r="L34" s="34"/>
      <c r="M34" s="34">
        <v>1</v>
      </c>
      <c r="N34" s="214" t="str">
        <f t="shared" si="9"/>
        <v/>
      </c>
      <c r="O34" s="144" t="str">
        <f t="shared" si="10"/>
        <v/>
      </c>
      <c r="P34" s="20">
        <f t="shared" si="11"/>
        <v>3</v>
      </c>
      <c r="Q34" s="221">
        <f>IF(A34&lt;&gt;0,VLOOKUP(A34,Liste!$A$10:$K$59,8,FALSE),"")</f>
        <v>390</v>
      </c>
      <c r="R34" s="33">
        <v>40</v>
      </c>
      <c r="S34" s="33"/>
      <c r="T34" s="33"/>
      <c r="U34" s="33"/>
      <c r="V34" s="33"/>
      <c r="W34" s="33"/>
      <c r="X34" s="33"/>
      <c r="Y34" s="33"/>
      <c r="Z34" s="33"/>
      <c r="AA34" s="33"/>
      <c r="AB34" s="222">
        <f t="shared" si="12"/>
        <v>1</v>
      </c>
      <c r="AC34" s="224">
        <f t="shared" si="13"/>
        <v>0</v>
      </c>
      <c r="AD34" s="224" t="str">
        <f>IF(AC34&gt;3,(SUMIF($H$14:$H$63,A34,$J$14:$J$63)+VLOOKUP(A34,$A$13:AA$63,16+$B$4)),"")</f>
        <v/>
      </c>
      <c r="AE34" s="225">
        <f t="shared" si="14"/>
        <v>16</v>
      </c>
    </row>
    <row r="35" spans="1:31" x14ac:dyDescent="0.25">
      <c r="A35" s="28">
        <v>2</v>
      </c>
      <c r="B35" s="29" t="str">
        <f>IF(A35&lt;&gt;0,VLOOKUP(A35,Liste!$A$10:$D$59,4,FALSE),"")</f>
        <v>AMONICA Marie</v>
      </c>
      <c r="C35" s="58">
        <f t="shared" si="3"/>
        <v>0</v>
      </c>
      <c r="D35" s="58">
        <f t="shared" si="4"/>
        <v>0</v>
      </c>
      <c r="E35" s="58">
        <f t="shared" si="5"/>
        <v>0</v>
      </c>
      <c r="F35" s="78">
        <f t="shared" si="6"/>
        <v>0</v>
      </c>
      <c r="G35" s="131"/>
      <c r="H35" s="132"/>
      <c r="I35" s="78">
        <f t="shared" si="7"/>
        <v>0</v>
      </c>
      <c r="J35" s="78">
        <f t="shared" si="8"/>
        <v>0</v>
      </c>
      <c r="K35" s="33"/>
      <c r="L35" s="34"/>
      <c r="M35" s="34"/>
      <c r="N35" s="214" t="str">
        <f t="shared" si="9"/>
        <v/>
      </c>
      <c r="O35" s="144" t="str">
        <f t="shared" si="10"/>
        <v/>
      </c>
      <c r="P35" s="20">
        <f t="shared" si="11"/>
        <v>5</v>
      </c>
      <c r="Q35" s="221">
        <f>IF(A35&lt;&gt;0,VLOOKUP(A35,Liste!$A$10:$K$59,8,FALSE),"")</f>
        <v>335</v>
      </c>
      <c r="R35" s="33">
        <v>60</v>
      </c>
      <c r="S35" s="30"/>
      <c r="T35" s="30"/>
      <c r="U35" s="30"/>
      <c r="V35" s="30"/>
      <c r="W35" s="30"/>
      <c r="X35" s="30"/>
      <c r="Y35" s="30"/>
      <c r="Z35" s="30"/>
      <c r="AA35" s="30"/>
      <c r="AB35" s="222">
        <f t="shared" si="12"/>
        <v>0</v>
      </c>
      <c r="AC35" s="224">
        <f t="shared" si="13"/>
        <v>0</v>
      </c>
      <c r="AD35" s="224" t="str">
        <f>IF(AC35&gt;3,(SUMIF($H$14:$H$63,A35,$J$14:$J$63)+VLOOKUP(A35,$A$13:AA$63,16+$B$4)),"")</f>
        <v/>
      </c>
      <c r="AE35" s="225">
        <f t="shared" si="14"/>
        <v>1000</v>
      </c>
    </row>
    <row r="36" spans="1:31" x14ac:dyDescent="0.25">
      <c r="A36" s="28">
        <v>6</v>
      </c>
      <c r="B36" s="29" t="str">
        <f>IF(A36&lt;&gt;0,VLOOKUP(A36,Liste!$A$10:$D$59,4,FALSE),"")</f>
        <v>AUBEPINE André</v>
      </c>
      <c r="C36" s="58">
        <f t="shared" si="3"/>
        <v>0</v>
      </c>
      <c r="D36" s="58">
        <f t="shared" si="4"/>
        <v>0</v>
      </c>
      <c r="E36" s="58">
        <f t="shared" si="5"/>
        <v>0</v>
      </c>
      <c r="F36" s="78">
        <f t="shared" si="6"/>
        <v>0</v>
      </c>
      <c r="G36" s="131"/>
      <c r="H36" s="132"/>
      <c r="I36" s="78">
        <f t="shared" si="7"/>
        <v>0</v>
      </c>
      <c r="J36" s="78">
        <f t="shared" si="8"/>
        <v>0</v>
      </c>
      <c r="K36" s="33"/>
      <c r="L36" s="34"/>
      <c r="M36" s="34"/>
      <c r="N36" s="214" t="str">
        <f t="shared" si="9"/>
        <v/>
      </c>
      <c r="O36" s="144" t="str">
        <f t="shared" si="10"/>
        <v/>
      </c>
      <c r="P36" s="20">
        <f t="shared" si="11"/>
        <v>5</v>
      </c>
      <c r="Q36" s="221">
        <f>IF(A36&lt;&gt;0,VLOOKUP(A36,Liste!$A$10:$K$59,8,FALSE),"")</f>
        <v>365</v>
      </c>
      <c r="R36" s="33">
        <v>30</v>
      </c>
      <c r="S36" s="33"/>
      <c r="T36" s="33"/>
      <c r="U36" s="33"/>
      <c r="V36" s="33"/>
      <c r="W36" s="33"/>
      <c r="X36" s="33"/>
      <c r="Y36" s="33"/>
      <c r="Z36" s="33"/>
      <c r="AA36" s="33"/>
      <c r="AB36" s="222">
        <f t="shared" si="12"/>
        <v>0</v>
      </c>
      <c r="AC36" s="224">
        <f t="shared" si="13"/>
        <v>0</v>
      </c>
      <c r="AD36" s="224" t="str">
        <f>IF(AC36&gt;3,(SUMIF($H$14:$H$63,A36,$J$14:$J$63)+VLOOKUP(A36,$A$13:AA$63,16+$B$4)),"")</f>
        <v/>
      </c>
      <c r="AE36" s="225">
        <f t="shared" si="14"/>
        <v>1000</v>
      </c>
    </row>
    <row r="37" spans="1:31" x14ac:dyDescent="0.25">
      <c r="A37" s="28">
        <v>9</v>
      </c>
      <c r="B37" s="29" t="str">
        <f>IF(A37&lt;&gt;0,VLOOKUP(A37,Liste!$A$10:$D$59,4,FALSE),"")</f>
        <v>DUBOIS/BALARDIN Joseph</v>
      </c>
      <c r="C37" s="58">
        <f t="shared" si="3"/>
        <v>0</v>
      </c>
      <c r="D37" s="58">
        <f t="shared" si="4"/>
        <v>0</v>
      </c>
      <c r="E37" s="58">
        <f t="shared" si="5"/>
        <v>0</v>
      </c>
      <c r="F37" s="78">
        <f t="shared" si="6"/>
        <v>0</v>
      </c>
      <c r="G37" s="131"/>
      <c r="H37" s="132"/>
      <c r="I37" s="78">
        <f t="shared" si="7"/>
        <v>0</v>
      </c>
      <c r="J37" s="78">
        <f t="shared" si="8"/>
        <v>0</v>
      </c>
      <c r="K37" s="33"/>
      <c r="L37" s="34"/>
      <c r="M37" s="34"/>
      <c r="N37" s="214" t="str">
        <f t="shared" si="9"/>
        <v/>
      </c>
      <c r="O37" s="144" t="str">
        <f t="shared" si="10"/>
        <v/>
      </c>
      <c r="P37" s="20">
        <f t="shared" si="11"/>
        <v>5</v>
      </c>
      <c r="Q37" s="221">
        <f>IF(A37&lt;&gt;0,VLOOKUP(A37,Liste!$A$10:$K$59,8,FALSE),"")</f>
        <v>380</v>
      </c>
      <c r="R37" s="33">
        <v>130</v>
      </c>
      <c r="S37" s="33"/>
      <c r="T37" s="33"/>
      <c r="U37" s="33"/>
      <c r="V37" s="33"/>
      <c r="W37" s="33"/>
      <c r="X37" s="33"/>
      <c r="Y37" s="33"/>
      <c r="Z37" s="33"/>
      <c r="AA37" s="33"/>
      <c r="AB37" s="222">
        <f t="shared" si="12"/>
        <v>0</v>
      </c>
      <c r="AC37" s="224">
        <f t="shared" si="13"/>
        <v>0</v>
      </c>
      <c r="AD37" s="224" t="str">
        <f>IF(AC37&gt;3,(SUMIF($H$14:$H$63,A37,$J$14:$J$63)+VLOOKUP(A37,$A$13:AA$63,16+$B$4)),"")</f>
        <v/>
      </c>
      <c r="AE37" s="225">
        <f t="shared" si="14"/>
        <v>1000</v>
      </c>
    </row>
    <row r="38" spans="1:31" x14ac:dyDescent="0.25">
      <c r="A38" s="28">
        <v>22</v>
      </c>
      <c r="B38" s="29" t="str">
        <f>IF(A38&lt;&gt;0,VLOOKUP(A38,Liste!$A$10:$D$59,4,FALSE),"")</f>
        <v>FARDIN Sébastin</v>
      </c>
      <c r="C38" s="58">
        <f t="shared" si="3"/>
        <v>0</v>
      </c>
      <c r="D38" s="58">
        <f t="shared" si="4"/>
        <v>0</v>
      </c>
      <c r="E38" s="58">
        <f t="shared" si="5"/>
        <v>0</v>
      </c>
      <c r="F38" s="78">
        <f t="shared" si="6"/>
        <v>0</v>
      </c>
      <c r="G38" s="131"/>
      <c r="H38" s="132"/>
      <c r="I38" s="78">
        <f t="shared" si="7"/>
        <v>0</v>
      </c>
      <c r="J38" s="78">
        <f t="shared" si="8"/>
        <v>0</v>
      </c>
      <c r="K38" s="33"/>
      <c r="L38" s="34"/>
      <c r="M38" s="34"/>
      <c r="N38" s="214" t="str">
        <f t="shared" si="9"/>
        <v/>
      </c>
      <c r="O38" s="144" t="str">
        <f t="shared" si="10"/>
        <v/>
      </c>
      <c r="P38" s="20">
        <f t="shared" si="11"/>
        <v>5</v>
      </c>
      <c r="Q38" s="221">
        <f>IF(A38&lt;&gt;0,VLOOKUP(A38,Liste!$A$10:$K$59,8,FALSE),"")</f>
        <v>380</v>
      </c>
      <c r="R38" s="33">
        <v>30</v>
      </c>
      <c r="S38" s="33"/>
      <c r="T38" s="33"/>
      <c r="U38" s="33"/>
      <c r="V38" s="33"/>
      <c r="W38" s="33"/>
      <c r="X38" s="33"/>
      <c r="Y38" s="33"/>
      <c r="Z38" s="33"/>
      <c r="AA38" s="33"/>
      <c r="AB38" s="222">
        <f t="shared" si="12"/>
        <v>0</v>
      </c>
      <c r="AC38" s="224">
        <f t="shared" si="13"/>
        <v>0</v>
      </c>
      <c r="AD38" s="224" t="str">
        <f>IF(AC38&gt;3,(SUMIF($H$14:$H$63,A38,$J$14:$J$63)+VLOOKUP(A38,$A$13:AA$63,16+$B$4)),"")</f>
        <v/>
      </c>
      <c r="AE38" s="225">
        <f t="shared" si="14"/>
        <v>1000</v>
      </c>
    </row>
    <row r="39" spans="1:31" x14ac:dyDescent="0.25">
      <c r="A39" s="28">
        <v>26</v>
      </c>
      <c r="B39" s="29">
        <f>IF(A39&lt;&gt;0,VLOOKUP(A39,Liste!$A$10:$D$59,4,FALSE),"")</f>
        <v>0</v>
      </c>
      <c r="C39" s="58"/>
      <c r="D39" s="58">
        <f t="shared" si="4"/>
        <v>0</v>
      </c>
      <c r="E39" s="58">
        <f t="shared" si="5"/>
        <v>0</v>
      </c>
      <c r="F39" s="78">
        <f t="shared" si="6"/>
        <v>0</v>
      </c>
      <c r="G39" s="131"/>
      <c r="H39" s="132"/>
      <c r="I39" s="78">
        <f t="shared" si="7"/>
        <v>0</v>
      </c>
      <c r="J39" s="78">
        <f t="shared" si="8"/>
        <v>0</v>
      </c>
      <c r="K39" s="33"/>
      <c r="L39" s="34"/>
      <c r="M39" s="34"/>
      <c r="N39" s="214" t="str">
        <f t="shared" si="9"/>
        <v/>
      </c>
      <c r="O39" s="144" t="str">
        <f t="shared" si="10"/>
        <v/>
      </c>
      <c r="P39" s="20">
        <f t="shared" si="11"/>
        <v>5</v>
      </c>
      <c r="Q39" s="221" t="str">
        <f>IF(A39&lt;&gt;0,VLOOKUP(A39,Liste!$A$10:$K$59,8,FALSE),"")</f>
        <v/>
      </c>
      <c r="R39" s="33"/>
      <c r="S39" s="30"/>
      <c r="T39" s="30"/>
      <c r="U39" s="30"/>
      <c r="V39" s="30"/>
      <c r="W39" s="30"/>
      <c r="X39" s="30"/>
      <c r="Y39" s="30"/>
      <c r="Z39" s="30"/>
      <c r="AA39" s="30"/>
      <c r="AB39" s="222">
        <f t="shared" si="12"/>
        <v>0</v>
      </c>
      <c r="AC39" s="224">
        <f t="shared" si="13"/>
        <v>0</v>
      </c>
      <c r="AD39" s="224" t="str">
        <f>IF(AC39&gt;3,(SUMIF($H$14:$H$63,A39,$J$14:$J$63)+VLOOKUP(A39,$A$13:AA$63,16+$B$4)),"")</f>
        <v/>
      </c>
      <c r="AE39" s="225">
        <f t="shared" si="14"/>
        <v>1000</v>
      </c>
    </row>
    <row r="40" spans="1:31" x14ac:dyDescent="0.25">
      <c r="A40" s="28">
        <v>27</v>
      </c>
      <c r="B40" s="29">
        <f>IF(A40&lt;&gt;0,VLOOKUP(A40,Liste!$A$10:$D$59,4,FALSE),"")</f>
        <v>0</v>
      </c>
      <c r="C40" s="58">
        <f t="shared" ref="C40:C63" si="15">F40*(K40=1)</f>
        <v>0</v>
      </c>
      <c r="D40" s="58">
        <f t="shared" si="4"/>
        <v>0</v>
      </c>
      <c r="E40" s="58">
        <f t="shared" si="5"/>
        <v>0</v>
      </c>
      <c r="F40" s="78">
        <f t="shared" si="6"/>
        <v>0</v>
      </c>
      <c r="G40" s="131"/>
      <c r="H40" s="132"/>
      <c r="I40" s="78">
        <f t="shared" si="7"/>
        <v>0</v>
      </c>
      <c r="J40" s="78">
        <f t="shared" si="8"/>
        <v>0</v>
      </c>
      <c r="K40" s="33"/>
      <c r="L40" s="34"/>
      <c r="M40" s="34"/>
      <c r="N40" s="214" t="str">
        <f t="shared" si="9"/>
        <v/>
      </c>
      <c r="O40" s="144" t="str">
        <f t="shared" si="10"/>
        <v/>
      </c>
      <c r="P40" s="20">
        <f t="shared" si="11"/>
        <v>5</v>
      </c>
      <c r="Q40" s="221" t="str">
        <f>IF(A40&lt;&gt;0,VLOOKUP(A40,Liste!$A$10:$K$59,8,FALSE),"")</f>
        <v/>
      </c>
      <c r="R40" s="33"/>
      <c r="S40" s="30"/>
      <c r="T40" s="30"/>
      <c r="U40" s="30"/>
      <c r="V40" s="30"/>
      <c r="W40" s="30"/>
      <c r="X40" s="30"/>
      <c r="Y40" s="30"/>
      <c r="Z40" s="30"/>
      <c r="AA40" s="30"/>
      <c r="AB40" s="222">
        <f t="shared" si="12"/>
        <v>0</v>
      </c>
      <c r="AC40" s="224">
        <f t="shared" si="13"/>
        <v>0</v>
      </c>
      <c r="AD40" s="224" t="str">
        <f>IF(AC40&gt;3,(SUMIF($H$14:$H$63,A40,$J$14:$J$63)+VLOOKUP(A40,$A$13:AA$63,16+$B$4)),"")</f>
        <v/>
      </c>
      <c r="AE40" s="225">
        <f t="shared" si="14"/>
        <v>1000</v>
      </c>
    </row>
    <row r="41" spans="1:31" x14ac:dyDescent="0.25">
      <c r="A41" s="28">
        <v>28</v>
      </c>
      <c r="B41" s="29">
        <f>IF(A41&lt;&gt;0,VLOOKUP(A41,Liste!$A$10:$D$59,4,FALSE),"")</f>
        <v>0</v>
      </c>
      <c r="C41" s="58">
        <f t="shared" si="15"/>
        <v>0</v>
      </c>
      <c r="D41" s="58">
        <f t="shared" si="4"/>
        <v>0</v>
      </c>
      <c r="E41" s="58">
        <f t="shared" si="5"/>
        <v>0</v>
      </c>
      <c r="F41" s="78">
        <f t="shared" si="6"/>
        <v>0</v>
      </c>
      <c r="G41" s="131"/>
      <c r="H41" s="132"/>
      <c r="I41" s="78">
        <f t="shared" si="7"/>
        <v>0</v>
      </c>
      <c r="J41" s="78">
        <f t="shared" si="8"/>
        <v>0</v>
      </c>
      <c r="K41" s="33"/>
      <c r="L41" s="34"/>
      <c r="M41" s="34"/>
      <c r="N41" s="214" t="str">
        <f t="shared" si="9"/>
        <v/>
      </c>
      <c r="O41" s="144" t="str">
        <f t="shared" si="10"/>
        <v/>
      </c>
      <c r="P41" s="20">
        <f t="shared" si="11"/>
        <v>5</v>
      </c>
      <c r="Q41" s="221" t="str">
        <f>IF(A41&lt;&gt;0,VLOOKUP(A41,Liste!$A$10:$K$59,8,FALSE),"")</f>
        <v/>
      </c>
      <c r="R41" s="33"/>
      <c r="S41" s="30"/>
      <c r="T41" s="30"/>
      <c r="U41" s="30"/>
      <c r="V41" s="30"/>
      <c r="W41" s="30"/>
      <c r="X41" s="30"/>
      <c r="Y41" s="30"/>
      <c r="Z41" s="30"/>
      <c r="AA41" s="30"/>
      <c r="AB41" s="222">
        <f t="shared" si="12"/>
        <v>0</v>
      </c>
      <c r="AC41" s="224">
        <f t="shared" si="13"/>
        <v>0</v>
      </c>
      <c r="AD41" s="224" t="str">
        <f>IF(AC41&gt;3,(SUMIF($H$14:$H$63,A41,$J$14:$J$63)+VLOOKUP(A41,$A$13:AA$63,16+$B$4)),"")</f>
        <v/>
      </c>
      <c r="AE41" s="225">
        <f t="shared" si="14"/>
        <v>1000</v>
      </c>
    </row>
    <row r="42" spans="1:31" x14ac:dyDescent="0.25">
      <c r="A42" s="28">
        <v>29</v>
      </c>
      <c r="B42" s="29">
        <f>IF(A42&lt;&gt;0,VLOOKUP(A42,Liste!$A$10:$D$59,4,FALSE),"")</f>
        <v>0</v>
      </c>
      <c r="C42" s="58">
        <f t="shared" si="15"/>
        <v>0</v>
      </c>
      <c r="D42" s="58">
        <f t="shared" si="4"/>
        <v>0</v>
      </c>
      <c r="E42" s="58">
        <f t="shared" si="5"/>
        <v>0</v>
      </c>
      <c r="F42" s="78">
        <f t="shared" si="6"/>
        <v>0</v>
      </c>
      <c r="G42" s="131"/>
      <c r="H42" s="132"/>
      <c r="I42" s="78">
        <f t="shared" si="7"/>
        <v>0</v>
      </c>
      <c r="J42" s="78">
        <f t="shared" si="8"/>
        <v>0</v>
      </c>
      <c r="K42" s="33"/>
      <c r="L42" s="34"/>
      <c r="M42" s="34"/>
      <c r="N42" s="214" t="str">
        <f t="shared" si="9"/>
        <v/>
      </c>
      <c r="O42" s="144" t="str">
        <f t="shared" si="10"/>
        <v/>
      </c>
      <c r="P42" s="20">
        <f t="shared" si="11"/>
        <v>5</v>
      </c>
      <c r="Q42" s="221" t="str">
        <f>IF(A42&lt;&gt;0,VLOOKUP(A42,Liste!$A$10:$K$59,8,FALSE),"")</f>
        <v/>
      </c>
      <c r="R42" s="33"/>
      <c r="S42" s="33"/>
      <c r="T42" s="33"/>
      <c r="U42" s="33"/>
      <c r="V42" s="33"/>
      <c r="W42" s="33"/>
      <c r="X42" s="33"/>
      <c r="Y42" s="33"/>
      <c r="Z42" s="33"/>
      <c r="AA42" s="33"/>
      <c r="AB42" s="222">
        <f t="shared" si="12"/>
        <v>0</v>
      </c>
      <c r="AC42" s="224">
        <f t="shared" si="13"/>
        <v>0</v>
      </c>
      <c r="AD42" s="224" t="str">
        <f>IF(AC42&gt;3,(SUMIF($H$14:$H$63,A42,$J$14:$J$63)+VLOOKUP(A42,$A$13:AA$63,16+$B$4)),"")</f>
        <v/>
      </c>
      <c r="AE42" s="225">
        <f t="shared" si="14"/>
        <v>1000</v>
      </c>
    </row>
    <row r="43" spans="1:31" x14ac:dyDescent="0.25">
      <c r="A43" s="28">
        <v>30</v>
      </c>
      <c r="B43" s="29">
        <f>IF(A43&lt;&gt;0,VLOOKUP(A43,Liste!$A$10:$D$59,4,FALSE),"")</f>
        <v>0</v>
      </c>
      <c r="C43" s="58">
        <f t="shared" si="15"/>
        <v>0</v>
      </c>
      <c r="D43" s="58">
        <f t="shared" si="4"/>
        <v>0</v>
      </c>
      <c r="E43" s="58">
        <f t="shared" si="5"/>
        <v>0</v>
      </c>
      <c r="F43" s="78">
        <f t="shared" si="6"/>
        <v>0</v>
      </c>
      <c r="G43" s="131"/>
      <c r="H43" s="132"/>
      <c r="I43" s="78">
        <f t="shared" si="7"/>
        <v>0</v>
      </c>
      <c r="J43" s="78">
        <f t="shared" si="8"/>
        <v>0</v>
      </c>
      <c r="K43" s="33"/>
      <c r="L43" s="34"/>
      <c r="M43" s="34"/>
      <c r="N43" s="214" t="str">
        <f t="shared" si="9"/>
        <v/>
      </c>
      <c r="O43" s="144" t="str">
        <f t="shared" si="10"/>
        <v/>
      </c>
      <c r="P43" s="20">
        <f t="shared" si="11"/>
        <v>5</v>
      </c>
      <c r="Q43" s="221" t="str">
        <f>IF(A43&lt;&gt;0,VLOOKUP(A43,Liste!$A$10:$K$59,8,FALSE),"")</f>
        <v/>
      </c>
      <c r="R43" s="33"/>
      <c r="S43" s="33"/>
      <c r="T43" s="33"/>
      <c r="U43" s="33"/>
      <c r="V43" s="33"/>
      <c r="W43" s="33"/>
      <c r="X43" s="33"/>
      <c r="Y43" s="33"/>
      <c r="Z43" s="33"/>
      <c r="AA43" s="33"/>
      <c r="AB43" s="222">
        <f t="shared" si="12"/>
        <v>0</v>
      </c>
      <c r="AC43" s="224">
        <f t="shared" si="13"/>
        <v>0</v>
      </c>
      <c r="AD43" s="224" t="str">
        <f>IF(AC43&gt;3,(SUMIF($H$14:$H$63,A43,$J$14:$J$63)+VLOOKUP(A43,$A$13:AA$63,16+$B$4)),"")</f>
        <v/>
      </c>
      <c r="AE43" s="225">
        <f t="shared" si="14"/>
        <v>1000</v>
      </c>
    </row>
    <row r="44" spans="1:31" x14ac:dyDescent="0.25">
      <c r="A44" s="28">
        <v>31</v>
      </c>
      <c r="B44" s="29">
        <f>IF(A44&lt;&gt;0,VLOOKUP(A44,Liste!$A$10:$D$59,4,FALSE),"")</f>
        <v>0</v>
      </c>
      <c r="C44" s="58">
        <f t="shared" si="15"/>
        <v>0</v>
      </c>
      <c r="D44" s="58">
        <f t="shared" si="4"/>
        <v>0</v>
      </c>
      <c r="E44" s="58">
        <f t="shared" si="5"/>
        <v>0</v>
      </c>
      <c r="F44" s="78">
        <f t="shared" si="6"/>
        <v>0</v>
      </c>
      <c r="G44" s="131"/>
      <c r="H44" s="132"/>
      <c r="I44" s="78">
        <f t="shared" si="7"/>
        <v>0</v>
      </c>
      <c r="J44" s="78">
        <f t="shared" si="8"/>
        <v>0</v>
      </c>
      <c r="K44" s="33"/>
      <c r="L44" s="34"/>
      <c r="M44" s="34"/>
      <c r="N44" s="214" t="str">
        <f t="shared" si="9"/>
        <v/>
      </c>
      <c r="O44" s="144" t="str">
        <f t="shared" si="10"/>
        <v/>
      </c>
      <c r="P44" s="20">
        <f t="shared" si="11"/>
        <v>5</v>
      </c>
      <c r="Q44" s="221" t="str">
        <f>IF(A44&lt;&gt;0,VLOOKUP(A44,Liste!$A$10:$K$59,8,FALSE),"")</f>
        <v/>
      </c>
      <c r="R44" s="33"/>
      <c r="S44" s="33"/>
      <c r="T44" s="33"/>
      <c r="U44" s="33"/>
      <c r="V44" s="33"/>
      <c r="W44" s="33"/>
      <c r="X44" s="33"/>
      <c r="Y44" s="33"/>
      <c r="Z44" s="33"/>
      <c r="AA44" s="33"/>
      <c r="AB44" s="222">
        <f t="shared" si="12"/>
        <v>0</v>
      </c>
      <c r="AC44" s="224">
        <f t="shared" si="13"/>
        <v>0</v>
      </c>
      <c r="AD44" s="224" t="str">
        <f>IF(AC44&gt;3,(SUMIF($H$14:$H$63,A44,$J$14:$J$63)+VLOOKUP(A44,$A$13:AA$63,16+$B$4)),"")</f>
        <v/>
      </c>
      <c r="AE44" s="225">
        <f t="shared" si="14"/>
        <v>1000</v>
      </c>
    </row>
    <row r="45" spans="1:31" x14ac:dyDescent="0.25">
      <c r="A45" s="28">
        <v>32</v>
      </c>
      <c r="B45" s="29">
        <f>IF(A45&lt;&gt;0,VLOOKUP(A45,Liste!$A$10:$D$59,4,FALSE),"")</f>
        <v>0</v>
      </c>
      <c r="C45" s="58">
        <f t="shared" si="15"/>
        <v>0</v>
      </c>
      <c r="D45" s="58">
        <f t="shared" si="4"/>
        <v>0</v>
      </c>
      <c r="E45" s="58">
        <f t="shared" si="5"/>
        <v>0</v>
      </c>
      <c r="F45" s="78">
        <f t="shared" si="6"/>
        <v>0</v>
      </c>
      <c r="G45" s="131"/>
      <c r="H45" s="132"/>
      <c r="I45" s="78">
        <f t="shared" si="7"/>
        <v>0</v>
      </c>
      <c r="J45" s="78">
        <f t="shared" si="8"/>
        <v>0</v>
      </c>
      <c r="K45" s="33"/>
      <c r="L45" s="34"/>
      <c r="M45" s="34"/>
      <c r="N45" s="214" t="str">
        <f t="shared" si="9"/>
        <v/>
      </c>
      <c r="O45" s="144" t="str">
        <f t="shared" si="10"/>
        <v/>
      </c>
      <c r="P45" s="20">
        <f t="shared" si="11"/>
        <v>5</v>
      </c>
      <c r="Q45" s="221" t="str">
        <f>IF(A45&lt;&gt;0,VLOOKUP(A45,Liste!$A$10:$K$59,8,FALSE),"")</f>
        <v/>
      </c>
      <c r="R45" s="33"/>
      <c r="S45" s="33"/>
      <c r="T45" s="33"/>
      <c r="U45" s="33"/>
      <c r="V45" s="33"/>
      <c r="W45" s="33"/>
      <c r="X45" s="33"/>
      <c r="Y45" s="33"/>
      <c r="Z45" s="33"/>
      <c r="AA45" s="33"/>
      <c r="AB45" s="222">
        <f t="shared" si="12"/>
        <v>0</v>
      </c>
      <c r="AC45" s="224">
        <f t="shared" si="13"/>
        <v>0</v>
      </c>
      <c r="AD45" s="224" t="str">
        <f>IF(AC45&gt;3,(SUMIF($H$14:$H$63,A45,$J$14:$J$63)+VLOOKUP(A45,$A$13:AA$63,16+$B$4)),"")</f>
        <v/>
      </c>
      <c r="AE45" s="225">
        <f t="shared" si="14"/>
        <v>1000</v>
      </c>
    </row>
    <row r="46" spans="1:31" x14ac:dyDescent="0.25">
      <c r="A46" s="28">
        <v>33</v>
      </c>
      <c r="B46" s="29">
        <f>IF(A46&lt;&gt;0,VLOOKUP(A46,Liste!$A$10:$D$59,4,FALSE),"")</f>
        <v>0</v>
      </c>
      <c r="C46" s="58">
        <f t="shared" si="15"/>
        <v>0</v>
      </c>
      <c r="D46" s="58">
        <f t="shared" ref="D46:D63" si="16">F46*(L46=1)</f>
        <v>0</v>
      </c>
      <c r="E46" s="58">
        <f t="shared" ref="E46:E77" si="17">F46*(M46=1)</f>
        <v>0</v>
      </c>
      <c r="F46" s="78">
        <f t="shared" ref="F46:F63" si="18">IF(I46=1,VLOOKUP(A46,$A$14:$AA$63,16+$B$4,0),0)</f>
        <v>0</v>
      </c>
      <c r="G46" s="131"/>
      <c r="H46" s="132"/>
      <c r="I46" s="78">
        <f t="shared" ref="I46:I62" si="19">1*(IF(G46&gt;0,VLOOKUP(A46,$A$14:$AA$63,16+$B$4,0)&gt;0))</f>
        <v>0</v>
      </c>
      <c r="J46" s="78">
        <f t="shared" ref="J46:J63" si="20">IF(F46&gt;0,F46,0)</f>
        <v>0</v>
      </c>
      <c r="K46" s="33"/>
      <c r="L46" s="34"/>
      <c r="M46" s="34"/>
      <c r="N46" s="214" t="str">
        <f t="shared" ref="N46:N77" si="21">IF(AND(I46&gt;0,K46+L46+M46=0),"EN ATTENTE",IF(K46+L46+M46&gt;1,"ERREUR",""))</f>
        <v/>
      </c>
      <c r="O46" s="144" t="str">
        <f t="shared" ref="O46:O63" si="22">IF(AND(AC46&gt;3,AD46&gt;$D$10*$O$12),1,"")</f>
        <v/>
      </c>
      <c r="P46" s="20">
        <f t="shared" ref="P46:P63" si="23">IF(I46=1,K46*(K46=1)+L46*2*(L46=1)+M46*3*(M46=1),5)</f>
        <v>5</v>
      </c>
      <c r="Q46" s="221" t="str">
        <f>IF(A46&lt;&gt;0,VLOOKUP(A46,Liste!$A$10:$K$59,8,FALSE),"")</f>
        <v/>
      </c>
      <c r="R46" s="33"/>
      <c r="S46" s="33"/>
      <c r="T46" s="33"/>
      <c r="U46" s="33"/>
      <c r="V46" s="33"/>
      <c r="W46" s="33"/>
      <c r="X46" s="33"/>
      <c r="Y46" s="33"/>
      <c r="Z46" s="33"/>
      <c r="AA46" s="33"/>
      <c r="AB46" s="222">
        <f t="shared" ref="AB46:AB63" si="24">(H46+I46)*(J46&gt;0)</f>
        <v>0</v>
      </c>
      <c r="AC46" s="224">
        <f t="shared" ref="AC46:AC63" si="25">COUNTIF($H$14:$H$63,A46)</f>
        <v>0</v>
      </c>
      <c r="AD46" s="224" t="str">
        <f>IF(AC46&gt;3,(SUMIF($H$14:$H$63,A46,$J$14:$J$63)+VLOOKUP(A46,$A$13:AA$63,16+$B$4)),"")</f>
        <v/>
      </c>
      <c r="AE46" s="225">
        <f t="shared" ref="AE46:AE63" si="26">IF(H46&gt;0,H46+0.5*(I46=1),A46*(I46=1))+(1000*(I46&lt;1))</f>
        <v>1000</v>
      </c>
    </row>
    <row r="47" spans="1:31" x14ac:dyDescent="0.25">
      <c r="A47" s="28">
        <v>34</v>
      </c>
      <c r="B47" s="29">
        <f>IF(A47&lt;&gt;0,VLOOKUP(A47,Liste!$A$10:$D$59,4,FALSE),"")</f>
        <v>0</v>
      </c>
      <c r="C47" s="58">
        <f t="shared" si="15"/>
        <v>0</v>
      </c>
      <c r="D47" s="58">
        <f t="shared" si="16"/>
        <v>0</v>
      </c>
      <c r="E47" s="58">
        <f t="shared" si="17"/>
        <v>0</v>
      </c>
      <c r="F47" s="78">
        <f t="shared" si="18"/>
        <v>0</v>
      </c>
      <c r="G47" s="131"/>
      <c r="H47" s="132"/>
      <c r="I47" s="78">
        <f t="shared" si="19"/>
        <v>0</v>
      </c>
      <c r="J47" s="78">
        <f t="shared" si="20"/>
        <v>0</v>
      </c>
      <c r="K47" s="33"/>
      <c r="L47" s="34"/>
      <c r="M47" s="34"/>
      <c r="N47" s="214" t="str">
        <f t="shared" si="21"/>
        <v/>
      </c>
      <c r="O47" s="144" t="str">
        <f t="shared" si="22"/>
        <v/>
      </c>
      <c r="P47" s="20">
        <f t="shared" si="23"/>
        <v>5</v>
      </c>
      <c r="Q47" s="221" t="str">
        <f>IF(A47&lt;&gt;0,VLOOKUP(A47,Liste!$A$10:$K$59,8,FALSE),"")</f>
        <v/>
      </c>
      <c r="R47" s="33"/>
      <c r="S47" s="33"/>
      <c r="T47" s="33"/>
      <c r="U47" s="33"/>
      <c r="V47" s="33"/>
      <c r="W47" s="33"/>
      <c r="X47" s="33"/>
      <c r="Y47" s="33"/>
      <c r="Z47" s="33"/>
      <c r="AA47" s="33"/>
      <c r="AB47" s="222">
        <f t="shared" si="24"/>
        <v>0</v>
      </c>
      <c r="AC47" s="224">
        <f t="shared" si="25"/>
        <v>0</v>
      </c>
      <c r="AD47" s="224" t="str">
        <f>IF(AC47&gt;3,(SUMIF($H$14:$H$63,A47,$J$14:$J$63)+VLOOKUP(A47,$A$13:AA$63,16+$B$4)),"")</f>
        <v/>
      </c>
      <c r="AE47" s="225">
        <f t="shared" si="26"/>
        <v>1000</v>
      </c>
    </row>
    <row r="48" spans="1:31" x14ac:dyDescent="0.25">
      <c r="A48" s="28">
        <v>35</v>
      </c>
      <c r="B48" s="29">
        <f>IF(A48&lt;&gt;0,VLOOKUP(A48,Liste!$A$10:$D$59,4,FALSE),"")</f>
        <v>0</v>
      </c>
      <c r="C48" s="58">
        <f t="shared" si="15"/>
        <v>0</v>
      </c>
      <c r="D48" s="58">
        <f t="shared" si="16"/>
        <v>0</v>
      </c>
      <c r="E48" s="58">
        <f t="shared" si="17"/>
        <v>0</v>
      </c>
      <c r="F48" s="78">
        <f t="shared" si="18"/>
        <v>0</v>
      </c>
      <c r="G48" s="131"/>
      <c r="H48" s="132"/>
      <c r="I48" s="78">
        <f t="shared" si="19"/>
        <v>0</v>
      </c>
      <c r="J48" s="78">
        <f t="shared" si="20"/>
        <v>0</v>
      </c>
      <c r="K48" s="33"/>
      <c r="L48" s="34"/>
      <c r="M48" s="34"/>
      <c r="N48" s="214" t="str">
        <f t="shared" si="21"/>
        <v/>
      </c>
      <c r="O48" s="144" t="str">
        <f t="shared" si="22"/>
        <v/>
      </c>
      <c r="P48" s="20">
        <f t="shared" si="23"/>
        <v>5</v>
      </c>
      <c r="Q48" s="221" t="str">
        <f>IF(A48&lt;&gt;0,VLOOKUP(A48,Liste!$A$10:$K$59,8,FALSE),"")</f>
        <v/>
      </c>
      <c r="R48" s="33"/>
      <c r="S48" s="33"/>
      <c r="T48" s="33"/>
      <c r="U48" s="33"/>
      <c r="V48" s="33"/>
      <c r="W48" s="33"/>
      <c r="X48" s="33"/>
      <c r="Y48" s="33"/>
      <c r="Z48" s="33"/>
      <c r="AA48" s="33"/>
      <c r="AB48" s="222">
        <f t="shared" si="24"/>
        <v>0</v>
      </c>
      <c r="AC48" s="224">
        <f t="shared" si="25"/>
        <v>0</v>
      </c>
      <c r="AD48" s="224" t="str">
        <f>IF(AC48&gt;3,(SUMIF($H$14:$H$63,A48,$J$14:$J$63)+VLOOKUP(A48,$A$13:AA$63,16+$B$4)),"")</f>
        <v/>
      </c>
      <c r="AE48" s="225">
        <f t="shared" si="26"/>
        <v>1000</v>
      </c>
    </row>
    <row r="49" spans="1:31" x14ac:dyDescent="0.25">
      <c r="A49" s="28">
        <v>36</v>
      </c>
      <c r="B49" s="29">
        <f>IF(A49&lt;&gt;0,VLOOKUP(A49,Liste!$A$10:$D$59,4,FALSE),"")</f>
        <v>0</v>
      </c>
      <c r="C49" s="58">
        <f t="shared" si="15"/>
        <v>0</v>
      </c>
      <c r="D49" s="58">
        <f t="shared" si="16"/>
        <v>0</v>
      </c>
      <c r="E49" s="58">
        <f t="shared" si="17"/>
        <v>0</v>
      </c>
      <c r="F49" s="78">
        <f t="shared" si="18"/>
        <v>0</v>
      </c>
      <c r="G49" s="131"/>
      <c r="H49" s="132"/>
      <c r="I49" s="78">
        <f t="shared" si="19"/>
        <v>0</v>
      </c>
      <c r="J49" s="78">
        <f t="shared" si="20"/>
        <v>0</v>
      </c>
      <c r="K49" s="33"/>
      <c r="L49" s="34"/>
      <c r="M49" s="34"/>
      <c r="N49" s="214" t="str">
        <f t="shared" si="21"/>
        <v/>
      </c>
      <c r="O49" s="144" t="str">
        <f t="shared" si="22"/>
        <v/>
      </c>
      <c r="P49" s="20">
        <f t="shared" si="23"/>
        <v>5</v>
      </c>
      <c r="Q49" s="221" t="str">
        <f>IF(A49&lt;&gt;0,VLOOKUP(A49,Liste!$A$10:$K$59,8,FALSE),"")</f>
        <v/>
      </c>
      <c r="R49" s="33"/>
      <c r="S49" s="33"/>
      <c r="T49" s="33"/>
      <c r="U49" s="33"/>
      <c r="V49" s="33"/>
      <c r="W49" s="33"/>
      <c r="X49" s="33"/>
      <c r="Y49" s="33"/>
      <c r="Z49" s="33"/>
      <c r="AA49" s="33"/>
      <c r="AB49" s="222">
        <f t="shared" si="24"/>
        <v>0</v>
      </c>
      <c r="AC49" s="224">
        <f t="shared" si="25"/>
        <v>0</v>
      </c>
      <c r="AD49" s="224" t="str">
        <f>IF(AC49&gt;3,(SUMIF($H$14:$H$63,A49,$J$14:$J$63)+VLOOKUP(A49,$A$13:AA$63,16+$B$4)),"")</f>
        <v/>
      </c>
      <c r="AE49" s="225">
        <f t="shared" si="26"/>
        <v>1000</v>
      </c>
    </row>
    <row r="50" spans="1:31" x14ac:dyDescent="0.25">
      <c r="A50" s="28">
        <v>37</v>
      </c>
      <c r="B50" s="29">
        <f>IF(A50&lt;&gt;0,VLOOKUP(A50,Liste!$A$10:$D$59,4,FALSE),"")</f>
        <v>0</v>
      </c>
      <c r="C50" s="58">
        <f t="shared" si="15"/>
        <v>0</v>
      </c>
      <c r="D50" s="58">
        <f t="shared" si="16"/>
        <v>0</v>
      </c>
      <c r="E50" s="58">
        <f t="shared" si="17"/>
        <v>0</v>
      </c>
      <c r="F50" s="78">
        <f t="shared" si="18"/>
        <v>0</v>
      </c>
      <c r="G50" s="131"/>
      <c r="H50" s="132"/>
      <c r="I50" s="78">
        <f t="shared" si="19"/>
        <v>0</v>
      </c>
      <c r="J50" s="78">
        <f t="shared" si="20"/>
        <v>0</v>
      </c>
      <c r="K50" s="33"/>
      <c r="L50" s="34"/>
      <c r="M50" s="34"/>
      <c r="N50" s="214" t="str">
        <f t="shared" si="21"/>
        <v/>
      </c>
      <c r="O50" s="144" t="str">
        <f t="shared" si="22"/>
        <v/>
      </c>
      <c r="P50" s="20">
        <f t="shared" si="23"/>
        <v>5</v>
      </c>
      <c r="Q50" s="221" t="str">
        <f>IF(A50&lt;&gt;0,VLOOKUP(A50,Liste!$A$10:$K$59,8,FALSE),"")</f>
        <v/>
      </c>
      <c r="R50" s="33"/>
      <c r="S50" s="33"/>
      <c r="T50" s="33"/>
      <c r="U50" s="33"/>
      <c r="V50" s="33"/>
      <c r="W50" s="33"/>
      <c r="X50" s="33"/>
      <c r="Y50" s="33"/>
      <c r="Z50" s="33"/>
      <c r="AA50" s="33"/>
      <c r="AB50" s="222">
        <f t="shared" si="24"/>
        <v>0</v>
      </c>
      <c r="AC50" s="224">
        <f t="shared" si="25"/>
        <v>0</v>
      </c>
      <c r="AD50" s="224" t="str">
        <f>IF(AC50&gt;3,(SUMIF($H$14:$H$63,A50,$J$14:$J$63)+VLOOKUP(A50,$A$13:AA$63,16+$B$4)),"")</f>
        <v/>
      </c>
      <c r="AE50" s="225">
        <f t="shared" si="26"/>
        <v>1000</v>
      </c>
    </row>
    <row r="51" spans="1:31" x14ac:dyDescent="0.25">
      <c r="A51" s="28">
        <v>38</v>
      </c>
      <c r="B51" s="29">
        <f>IF(A51&lt;&gt;0,VLOOKUP(A51,Liste!$A$10:$D$59,4,FALSE),"")</f>
        <v>0</v>
      </c>
      <c r="C51" s="58">
        <f t="shared" si="15"/>
        <v>0</v>
      </c>
      <c r="D51" s="58">
        <f t="shared" si="16"/>
        <v>0</v>
      </c>
      <c r="E51" s="58">
        <f t="shared" si="17"/>
        <v>0</v>
      </c>
      <c r="F51" s="78">
        <f t="shared" si="18"/>
        <v>0</v>
      </c>
      <c r="G51" s="131"/>
      <c r="H51" s="132"/>
      <c r="I51" s="78">
        <f t="shared" si="19"/>
        <v>0</v>
      </c>
      <c r="J51" s="78">
        <f t="shared" si="20"/>
        <v>0</v>
      </c>
      <c r="K51" s="33"/>
      <c r="L51" s="34"/>
      <c r="M51" s="34"/>
      <c r="N51" s="214" t="str">
        <f t="shared" si="21"/>
        <v/>
      </c>
      <c r="O51" s="144" t="str">
        <f t="shared" si="22"/>
        <v/>
      </c>
      <c r="P51" s="20">
        <f t="shared" si="23"/>
        <v>5</v>
      </c>
      <c r="Q51" s="221" t="str">
        <f>IF(A51&lt;&gt;0,VLOOKUP(A51,Liste!$A$10:$K$59,8,FALSE),"")</f>
        <v/>
      </c>
      <c r="R51" s="33"/>
      <c r="S51" s="33"/>
      <c r="T51" s="33"/>
      <c r="U51" s="33"/>
      <c r="V51" s="33"/>
      <c r="W51" s="33"/>
      <c r="X51" s="33"/>
      <c r="Y51" s="33"/>
      <c r="Z51" s="33"/>
      <c r="AA51" s="33"/>
      <c r="AB51" s="222">
        <f t="shared" si="24"/>
        <v>0</v>
      </c>
      <c r="AC51" s="224">
        <f t="shared" si="25"/>
        <v>0</v>
      </c>
      <c r="AD51" s="224" t="str">
        <f>IF(AC51&gt;3,(SUMIF($H$14:$H$63,A51,$J$14:$J$63)+VLOOKUP(A51,$A$13:AA$63,16+$B$4)),"")</f>
        <v/>
      </c>
      <c r="AE51" s="225">
        <f t="shared" si="26"/>
        <v>1000</v>
      </c>
    </row>
    <row r="52" spans="1:31" x14ac:dyDescent="0.25">
      <c r="A52" s="28">
        <v>39</v>
      </c>
      <c r="B52" s="29">
        <f>IF(A52&lt;&gt;0,VLOOKUP(A52,Liste!$A$10:$D$59,4,FALSE),"")</f>
        <v>0</v>
      </c>
      <c r="C52" s="58">
        <f t="shared" si="15"/>
        <v>0</v>
      </c>
      <c r="D52" s="58">
        <f t="shared" si="16"/>
        <v>0</v>
      </c>
      <c r="E52" s="58">
        <f t="shared" si="17"/>
        <v>0</v>
      </c>
      <c r="F52" s="78">
        <f t="shared" si="18"/>
        <v>0</v>
      </c>
      <c r="G52" s="131"/>
      <c r="H52" s="132"/>
      <c r="I52" s="78">
        <f t="shared" si="19"/>
        <v>0</v>
      </c>
      <c r="J52" s="78">
        <f t="shared" si="20"/>
        <v>0</v>
      </c>
      <c r="K52" s="33"/>
      <c r="L52" s="34"/>
      <c r="M52" s="34"/>
      <c r="N52" s="214" t="str">
        <f t="shared" si="21"/>
        <v/>
      </c>
      <c r="O52" s="144" t="str">
        <f t="shared" si="22"/>
        <v/>
      </c>
      <c r="P52" s="20">
        <f t="shared" si="23"/>
        <v>5</v>
      </c>
      <c r="Q52" s="221" t="str">
        <f>IF(A52&lt;&gt;0,VLOOKUP(A52,Liste!$A$10:$K$59,8,FALSE),"")</f>
        <v/>
      </c>
      <c r="R52" s="33"/>
      <c r="S52" s="33"/>
      <c r="T52" s="33"/>
      <c r="U52" s="33"/>
      <c r="V52" s="33"/>
      <c r="W52" s="33"/>
      <c r="X52" s="33"/>
      <c r="Y52" s="33"/>
      <c r="Z52" s="33"/>
      <c r="AA52" s="33"/>
      <c r="AB52" s="222">
        <f t="shared" si="24"/>
        <v>0</v>
      </c>
      <c r="AC52" s="224">
        <f t="shared" si="25"/>
        <v>0</v>
      </c>
      <c r="AD52" s="224" t="str">
        <f>IF(AC52&gt;3,(SUMIF($H$14:$H$63,A52,$J$14:$J$63)+VLOOKUP(A52,$A$13:AA$63,16+$B$4)),"")</f>
        <v/>
      </c>
      <c r="AE52" s="225">
        <f t="shared" si="26"/>
        <v>1000</v>
      </c>
    </row>
    <row r="53" spans="1:31" x14ac:dyDescent="0.25">
      <c r="A53" s="28">
        <v>40</v>
      </c>
      <c r="B53" s="29">
        <f>IF(A53&lt;&gt;0,VLOOKUP(A53,Liste!$A$10:$D$59,4,FALSE),"")</f>
        <v>0</v>
      </c>
      <c r="C53" s="58">
        <f t="shared" si="15"/>
        <v>0</v>
      </c>
      <c r="D53" s="58">
        <f t="shared" si="16"/>
        <v>0</v>
      </c>
      <c r="E53" s="58">
        <f t="shared" si="17"/>
        <v>0</v>
      </c>
      <c r="F53" s="78">
        <f t="shared" si="18"/>
        <v>0</v>
      </c>
      <c r="G53" s="131"/>
      <c r="H53" s="132"/>
      <c r="I53" s="78">
        <f t="shared" si="19"/>
        <v>0</v>
      </c>
      <c r="J53" s="78">
        <f t="shared" si="20"/>
        <v>0</v>
      </c>
      <c r="K53" s="33"/>
      <c r="L53" s="34"/>
      <c r="M53" s="34"/>
      <c r="N53" s="214" t="str">
        <f t="shared" si="21"/>
        <v/>
      </c>
      <c r="O53" s="144" t="str">
        <f t="shared" si="22"/>
        <v/>
      </c>
      <c r="P53" s="20">
        <f t="shared" si="23"/>
        <v>5</v>
      </c>
      <c r="Q53" s="221" t="str">
        <f>IF(A53&lt;&gt;0,VLOOKUP(A53,Liste!$A$10:$K$59,8,FALSE),"")</f>
        <v/>
      </c>
      <c r="R53" s="33"/>
      <c r="S53" s="33"/>
      <c r="T53" s="33"/>
      <c r="U53" s="33"/>
      <c r="V53" s="33"/>
      <c r="W53" s="33"/>
      <c r="X53" s="33"/>
      <c r="Y53" s="33"/>
      <c r="Z53" s="33"/>
      <c r="AA53" s="33"/>
      <c r="AB53" s="222">
        <f t="shared" si="24"/>
        <v>0</v>
      </c>
      <c r="AC53" s="224">
        <f t="shared" si="25"/>
        <v>0</v>
      </c>
      <c r="AD53" s="224" t="str">
        <f>IF(AC53&gt;3,(SUMIF($H$14:$H$63,A53,$J$14:$J$63)+VLOOKUP(A53,$A$13:AA$63,16+$B$4)),"")</f>
        <v/>
      </c>
      <c r="AE53" s="225">
        <f t="shared" si="26"/>
        <v>1000</v>
      </c>
    </row>
    <row r="54" spans="1:31" x14ac:dyDescent="0.25">
      <c r="A54" s="28">
        <v>41</v>
      </c>
      <c r="B54" s="29">
        <f>IF(A54&lt;&gt;0,VLOOKUP(A54,Liste!$A$10:$D$59,4,FALSE),"")</f>
        <v>0</v>
      </c>
      <c r="C54" s="58">
        <f t="shared" si="15"/>
        <v>0</v>
      </c>
      <c r="D54" s="58">
        <f t="shared" si="16"/>
        <v>0</v>
      </c>
      <c r="E54" s="58">
        <f t="shared" si="17"/>
        <v>0</v>
      </c>
      <c r="F54" s="78">
        <f t="shared" si="18"/>
        <v>0</v>
      </c>
      <c r="G54" s="131"/>
      <c r="H54" s="132"/>
      <c r="I54" s="78">
        <f t="shared" si="19"/>
        <v>0</v>
      </c>
      <c r="J54" s="78">
        <f t="shared" si="20"/>
        <v>0</v>
      </c>
      <c r="K54" s="33"/>
      <c r="L54" s="34"/>
      <c r="M54" s="34"/>
      <c r="N54" s="214" t="str">
        <f t="shared" si="21"/>
        <v/>
      </c>
      <c r="O54" s="144" t="str">
        <f t="shared" si="22"/>
        <v/>
      </c>
      <c r="P54" s="20">
        <f t="shared" si="23"/>
        <v>5</v>
      </c>
      <c r="Q54" s="221" t="str">
        <f>IF(A54&lt;&gt;0,VLOOKUP(A54,Liste!$A$10:$K$59,8,FALSE),"")</f>
        <v/>
      </c>
      <c r="R54" s="33"/>
      <c r="S54" s="33"/>
      <c r="T54" s="33"/>
      <c r="U54" s="33"/>
      <c r="V54" s="33"/>
      <c r="W54" s="33"/>
      <c r="X54" s="33"/>
      <c r="Y54" s="33"/>
      <c r="Z54" s="33"/>
      <c r="AA54" s="33"/>
      <c r="AB54" s="222">
        <f t="shared" si="24"/>
        <v>0</v>
      </c>
      <c r="AC54" s="224">
        <f t="shared" si="25"/>
        <v>0</v>
      </c>
      <c r="AD54" s="224" t="str">
        <f>IF(AC54&gt;3,(SUMIF($H$14:$H$63,A54,$J$14:$J$63)+VLOOKUP(A54,$A$13:AA$63,16+$B$4)),"")</f>
        <v/>
      </c>
      <c r="AE54" s="225">
        <f t="shared" si="26"/>
        <v>1000</v>
      </c>
    </row>
    <row r="55" spans="1:31" x14ac:dyDescent="0.25">
      <c r="A55" s="28">
        <v>42</v>
      </c>
      <c r="B55" s="29">
        <f>IF(A55&lt;&gt;0,VLOOKUP(A55,Liste!$A$10:$D$59,4,FALSE),"")</f>
        <v>0</v>
      </c>
      <c r="C55" s="58">
        <f t="shared" si="15"/>
        <v>0</v>
      </c>
      <c r="D55" s="58">
        <f t="shared" si="16"/>
        <v>0</v>
      </c>
      <c r="E55" s="58">
        <f t="shared" si="17"/>
        <v>0</v>
      </c>
      <c r="F55" s="78">
        <f t="shared" si="18"/>
        <v>0</v>
      </c>
      <c r="G55" s="131"/>
      <c r="H55" s="132"/>
      <c r="I55" s="78">
        <f t="shared" si="19"/>
        <v>0</v>
      </c>
      <c r="J55" s="78">
        <f t="shared" si="20"/>
        <v>0</v>
      </c>
      <c r="K55" s="33"/>
      <c r="L55" s="34"/>
      <c r="M55" s="34"/>
      <c r="N55" s="214" t="str">
        <f t="shared" si="21"/>
        <v/>
      </c>
      <c r="O55" s="144" t="str">
        <f t="shared" si="22"/>
        <v/>
      </c>
      <c r="P55" s="20">
        <f t="shared" si="23"/>
        <v>5</v>
      </c>
      <c r="Q55" s="221" t="str">
        <f>IF(A55&lt;&gt;0,VLOOKUP(A55,Liste!$A$10:$K$59,8,FALSE),"")</f>
        <v/>
      </c>
      <c r="R55" s="33"/>
      <c r="S55" s="33"/>
      <c r="T55" s="33"/>
      <c r="U55" s="33"/>
      <c r="V55" s="33"/>
      <c r="W55" s="33"/>
      <c r="X55" s="33"/>
      <c r="Y55" s="33"/>
      <c r="Z55" s="33"/>
      <c r="AA55" s="33"/>
      <c r="AB55" s="222">
        <f t="shared" si="24"/>
        <v>0</v>
      </c>
      <c r="AC55" s="224">
        <f t="shared" si="25"/>
        <v>0</v>
      </c>
      <c r="AD55" s="224" t="str">
        <f>IF(AC55&gt;3,(SUMIF($H$14:$H$63,A55,$J$14:$J$63)+VLOOKUP(A55,$A$13:AA$63,16+$B$4)),"")</f>
        <v/>
      </c>
      <c r="AE55" s="225">
        <f t="shared" si="26"/>
        <v>1000</v>
      </c>
    </row>
    <row r="56" spans="1:31" x14ac:dyDescent="0.25">
      <c r="A56" s="28">
        <v>43</v>
      </c>
      <c r="B56" s="29">
        <f>IF(A56&lt;&gt;0,VLOOKUP(A56,Liste!$A$10:$D$59,4,FALSE),"")</f>
        <v>0</v>
      </c>
      <c r="C56" s="58">
        <f t="shared" si="15"/>
        <v>0</v>
      </c>
      <c r="D56" s="58">
        <f t="shared" si="16"/>
        <v>0</v>
      </c>
      <c r="E56" s="58">
        <f t="shared" si="17"/>
        <v>0</v>
      </c>
      <c r="F56" s="78">
        <f t="shared" si="18"/>
        <v>0</v>
      </c>
      <c r="G56" s="131"/>
      <c r="H56" s="132"/>
      <c r="I56" s="78">
        <f t="shared" si="19"/>
        <v>0</v>
      </c>
      <c r="J56" s="78">
        <f t="shared" si="20"/>
        <v>0</v>
      </c>
      <c r="K56" s="33"/>
      <c r="L56" s="34"/>
      <c r="M56" s="34"/>
      <c r="N56" s="214" t="str">
        <f t="shared" si="21"/>
        <v/>
      </c>
      <c r="O56" s="144" t="str">
        <f t="shared" si="22"/>
        <v/>
      </c>
      <c r="P56" s="20">
        <f t="shared" si="23"/>
        <v>5</v>
      </c>
      <c r="Q56" s="221" t="str">
        <f>IF(A56&lt;&gt;0,VLOOKUP(A56,Liste!$A$10:$K$59,8,FALSE),"")</f>
        <v/>
      </c>
      <c r="R56" s="33"/>
      <c r="S56" s="33"/>
      <c r="T56" s="33"/>
      <c r="U56" s="33"/>
      <c r="V56" s="33"/>
      <c r="W56" s="33"/>
      <c r="X56" s="33"/>
      <c r="Y56" s="33"/>
      <c r="Z56" s="33"/>
      <c r="AA56" s="33"/>
      <c r="AB56" s="222">
        <f t="shared" si="24"/>
        <v>0</v>
      </c>
      <c r="AC56" s="224">
        <f t="shared" si="25"/>
        <v>0</v>
      </c>
      <c r="AD56" s="224" t="str">
        <f>IF(AC56&gt;3,(SUMIF($H$14:$H$63,A56,$J$14:$J$63)+VLOOKUP(A56,$A$13:AA$63,16+$B$4)),"")</f>
        <v/>
      </c>
      <c r="AE56" s="225">
        <f t="shared" si="26"/>
        <v>1000</v>
      </c>
    </row>
    <row r="57" spans="1:31" x14ac:dyDescent="0.25">
      <c r="A57" s="28">
        <v>44</v>
      </c>
      <c r="B57" s="29">
        <f>IF(A57&lt;&gt;0,VLOOKUP(A57,Liste!$A$10:$D$59,4,FALSE),"")</f>
        <v>0</v>
      </c>
      <c r="C57" s="58">
        <f t="shared" si="15"/>
        <v>0</v>
      </c>
      <c r="D57" s="58">
        <f t="shared" si="16"/>
        <v>0</v>
      </c>
      <c r="E57" s="58">
        <f t="shared" si="17"/>
        <v>0</v>
      </c>
      <c r="F57" s="78">
        <f t="shared" si="18"/>
        <v>0</v>
      </c>
      <c r="G57" s="131"/>
      <c r="H57" s="132"/>
      <c r="I57" s="78">
        <f t="shared" si="19"/>
        <v>0</v>
      </c>
      <c r="J57" s="78">
        <f t="shared" si="20"/>
        <v>0</v>
      </c>
      <c r="K57" s="33"/>
      <c r="L57" s="34"/>
      <c r="M57" s="34"/>
      <c r="N57" s="214" t="str">
        <f t="shared" si="21"/>
        <v/>
      </c>
      <c r="O57" s="144" t="str">
        <f t="shared" si="22"/>
        <v/>
      </c>
      <c r="P57" s="20">
        <f t="shared" si="23"/>
        <v>5</v>
      </c>
      <c r="Q57" s="221" t="str">
        <f>IF(A57&lt;&gt;0,VLOOKUP(A57,Liste!$A$10:$K$59,8,FALSE),"")</f>
        <v/>
      </c>
      <c r="R57" s="33"/>
      <c r="S57" s="33"/>
      <c r="T57" s="33"/>
      <c r="U57" s="33"/>
      <c r="V57" s="33"/>
      <c r="W57" s="33"/>
      <c r="X57" s="33"/>
      <c r="Y57" s="33"/>
      <c r="Z57" s="33"/>
      <c r="AA57" s="33"/>
      <c r="AB57" s="222">
        <f t="shared" si="24"/>
        <v>0</v>
      </c>
      <c r="AC57" s="224">
        <f t="shared" si="25"/>
        <v>0</v>
      </c>
      <c r="AD57" s="224" t="str">
        <f>IF(AC57&gt;3,(SUMIF($H$14:$H$63,A57,$J$14:$J$63)+VLOOKUP(A57,$A$13:AA$63,16+$B$4)),"")</f>
        <v/>
      </c>
      <c r="AE57" s="225">
        <f t="shared" si="26"/>
        <v>1000</v>
      </c>
    </row>
    <row r="58" spans="1:31" x14ac:dyDescent="0.25">
      <c r="A58" s="28">
        <v>45</v>
      </c>
      <c r="B58" s="29">
        <f>IF(A58&lt;&gt;0,VLOOKUP(A58,Liste!$A$10:$D$59,4,FALSE),"")</f>
        <v>0</v>
      </c>
      <c r="C58" s="58">
        <f t="shared" si="15"/>
        <v>0</v>
      </c>
      <c r="D58" s="58">
        <f t="shared" si="16"/>
        <v>0</v>
      </c>
      <c r="E58" s="58">
        <f t="shared" si="17"/>
        <v>0</v>
      </c>
      <c r="F58" s="78">
        <f t="shared" si="18"/>
        <v>0</v>
      </c>
      <c r="G58" s="131"/>
      <c r="H58" s="132"/>
      <c r="I58" s="78">
        <f t="shared" si="19"/>
        <v>0</v>
      </c>
      <c r="J58" s="78">
        <f t="shared" si="20"/>
        <v>0</v>
      </c>
      <c r="K58" s="33"/>
      <c r="L58" s="34"/>
      <c r="M58" s="34"/>
      <c r="N58" s="214" t="str">
        <f t="shared" si="21"/>
        <v/>
      </c>
      <c r="O58" s="144" t="str">
        <f t="shared" si="22"/>
        <v/>
      </c>
      <c r="P58" s="20">
        <f t="shared" si="23"/>
        <v>5</v>
      </c>
      <c r="Q58" s="221" t="str">
        <f>IF(A58&lt;&gt;0,VLOOKUP(A58,Liste!$A$10:$K$59,8,FALSE),"")</f>
        <v/>
      </c>
      <c r="R58" s="33"/>
      <c r="S58" s="33"/>
      <c r="T58" s="33"/>
      <c r="U58" s="33"/>
      <c r="V58" s="33"/>
      <c r="W58" s="33"/>
      <c r="X58" s="33"/>
      <c r="Y58" s="33"/>
      <c r="Z58" s="33"/>
      <c r="AA58" s="33"/>
      <c r="AB58" s="222">
        <f t="shared" si="24"/>
        <v>0</v>
      </c>
      <c r="AC58" s="224">
        <f t="shared" si="25"/>
        <v>0</v>
      </c>
      <c r="AD58" s="224" t="str">
        <f>IF(AC58&gt;3,(SUMIF($H$14:$H$63,A58,$J$14:$J$63)+VLOOKUP(A58,$A$13:AA$63,16+$B$4)),"")</f>
        <v/>
      </c>
      <c r="AE58" s="225">
        <f t="shared" si="26"/>
        <v>1000</v>
      </c>
    </row>
    <row r="59" spans="1:31" x14ac:dyDescent="0.25">
      <c r="A59" s="28">
        <v>46</v>
      </c>
      <c r="B59" s="29">
        <f>IF(A59&lt;&gt;0,VLOOKUP(A59,Liste!$A$10:$D$59,4,FALSE),"")</f>
        <v>0</v>
      </c>
      <c r="C59" s="58">
        <f t="shared" si="15"/>
        <v>0</v>
      </c>
      <c r="D59" s="58">
        <f t="shared" si="16"/>
        <v>0</v>
      </c>
      <c r="E59" s="58">
        <f t="shared" si="17"/>
        <v>0</v>
      </c>
      <c r="F59" s="78">
        <f t="shared" si="18"/>
        <v>0</v>
      </c>
      <c r="G59" s="131"/>
      <c r="H59" s="132"/>
      <c r="I59" s="78">
        <f t="shared" si="19"/>
        <v>0</v>
      </c>
      <c r="J59" s="78">
        <f t="shared" si="20"/>
        <v>0</v>
      </c>
      <c r="K59" s="33"/>
      <c r="L59" s="34"/>
      <c r="M59" s="34"/>
      <c r="N59" s="214" t="str">
        <f t="shared" si="21"/>
        <v/>
      </c>
      <c r="O59" s="144" t="str">
        <f t="shared" si="22"/>
        <v/>
      </c>
      <c r="P59" s="20">
        <f t="shared" si="23"/>
        <v>5</v>
      </c>
      <c r="Q59" s="221" t="str">
        <f>IF(A59&lt;&gt;0,VLOOKUP(A59,Liste!$A$10:$K$59,8,FALSE),"")</f>
        <v/>
      </c>
      <c r="R59" s="33"/>
      <c r="S59" s="33"/>
      <c r="T59" s="33"/>
      <c r="U59" s="33"/>
      <c r="V59" s="33"/>
      <c r="W59" s="33"/>
      <c r="X59" s="33"/>
      <c r="Y59" s="33"/>
      <c r="Z59" s="33"/>
      <c r="AA59" s="33"/>
      <c r="AB59" s="222">
        <f t="shared" si="24"/>
        <v>0</v>
      </c>
      <c r="AC59" s="224">
        <f t="shared" si="25"/>
        <v>0</v>
      </c>
      <c r="AD59" s="224" t="str">
        <f>IF(AC59&gt;3,(SUMIF($H$14:$H$63,A59,$J$14:$J$63)+VLOOKUP(A59,$A$13:AA$63,16+$B$4)),"")</f>
        <v/>
      </c>
      <c r="AE59" s="225">
        <f t="shared" si="26"/>
        <v>1000</v>
      </c>
    </row>
    <row r="60" spans="1:31" x14ac:dyDescent="0.25">
      <c r="A60" s="28">
        <v>47</v>
      </c>
      <c r="B60" s="29">
        <f>IF(A60&lt;&gt;0,VLOOKUP(A60,Liste!$A$10:$D$59,4,FALSE),"")</f>
        <v>0</v>
      </c>
      <c r="C60" s="58">
        <f t="shared" si="15"/>
        <v>0</v>
      </c>
      <c r="D60" s="58">
        <f t="shared" si="16"/>
        <v>0</v>
      </c>
      <c r="E60" s="58">
        <f t="shared" si="17"/>
        <v>0</v>
      </c>
      <c r="F60" s="78">
        <f t="shared" si="18"/>
        <v>0</v>
      </c>
      <c r="G60" s="131"/>
      <c r="H60" s="132"/>
      <c r="I60" s="78">
        <f t="shared" si="19"/>
        <v>0</v>
      </c>
      <c r="J60" s="78">
        <f t="shared" si="20"/>
        <v>0</v>
      </c>
      <c r="K60" s="33"/>
      <c r="L60" s="34"/>
      <c r="M60" s="34"/>
      <c r="N60" s="214" t="str">
        <f t="shared" si="21"/>
        <v/>
      </c>
      <c r="O60" s="144" t="str">
        <f t="shared" si="22"/>
        <v/>
      </c>
      <c r="P60" s="20">
        <f t="shared" si="23"/>
        <v>5</v>
      </c>
      <c r="Q60" s="221" t="str">
        <f>IF(A60&lt;&gt;0,VLOOKUP(A60,Liste!$A$10:$K$59,8,FALSE),"")</f>
        <v/>
      </c>
      <c r="R60" s="33"/>
      <c r="S60" s="33"/>
      <c r="T60" s="33"/>
      <c r="U60" s="33"/>
      <c r="V60" s="33"/>
      <c r="W60" s="33"/>
      <c r="X60" s="33"/>
      <c r="Y60" s="33"/>
      <c r="Z60" s="33"/>
      <c r="AA60" s="33"/>
      <c r="AB60" s="222">
        <f t="shared" si="24"/>
        <v>0</v>
      </c>
      <c r="AC60" s="224">
        <f t="shared" si="25"/>
        <v>0</v>
      </c>
      <c r="AD60" s="224" t="str">
        <f>IF(AC60&gt;3,(SUMIF($H$14:$H$63,A60,$J$14:$J$63)+VLOOKUP(A60,$A$13:AA$63,16+$B$4)),"")</f>
        <v/>
      </c>
      <c r="AE60" s="225">
        <f t="shared" si="26"/>
        <v>1000</v>
      </c>
    </row>
    <row r="61" spans="1:31" x14ac:dyDescent="0.25">
      <c r="A61" s="28">
        <v>48</v>
      </c>
      <c r="B61" s="29">
        <f>IF(A61&lt;&gt;0,VLOOKUP(A61,Liste!$A$10:$D$59,4,FALSE),"")</f>
        <v>0</v>
      </c>
      <c r="C61" s="58">
        <f t="shared" si="15"/>
        <v>0</v>
      </c>
      <c r="D61" s="58">
        <f t="shared" si="16"/>
        <v>0</v>
      </c>
      <c r="E61" s="58">
        <f t="shared" si="17"/>
        <v>0</v>
      </c>
      <c r="F61" s="78">
        <f t="shared" si="18"/>
        <v>0</v>
      </c>
      <c r="G61" s="131"/>
      <c r="H61" s="132"/>
      <c r="I61" s="78">
        <f t="shared" si="19"/>
        <v>0</v>
      </c>
      <c r="J61" s="78">
        <f t="shared" si="20"/>
        <v>0</v>
      </c>
      <c r="K61" s="33"/>
      <c r="L61" s="34"/>
      <c r="M61" s="34"/>
      <c r="N61" s="214" t="str">
        <f t="shared" si="21"/>
        <v/>
      </c>
      <c r="O61" s="144" t="str">
        <f t="shared" si="22"/>
        <v/>
      </c>
      <c r="P61" s="20">
        <f t="shared" si="23"/>
        <v>5</v>
      </c>
      <c r="Q61" s="221" t="str">
        <f>IF(A61&lt;&gt;0,VLOOKUP(A61,Liste!$A$10:$K$59,8,FALSE),"")</f>
        <v/>
      </c>
      <c r="R61" s="33"/>
      <c r="S61" s="33"/>
      <c r="T61" s="33"/>
      <c r="U61" s="33"/>
      <c r="V61" s="33"/>
      <c r="W61" s="33"/>
      <c r="X61" s="33"/>
      <c r="Y61" s="33"/>
      <c r="Z61" s="33"/>
      <c r="AA61" s="33"/>
      <c r="AB61" s="222">
        <f t="shared" si="24"/>
        <v>0</v>
      </c>
      <c r="AC61" s="224">
        <f t="shared" si="25"/>
        <v>0</v>
      </c>
      <c r="AD61" s="224" t="str">
        <f>IF(AC61&gt;3,(SUMIF($H$14:$H$63,A61,$J$14:$J$63)+VLOOKUP(A61,$A$13:AA$63,16+$B$4)),"")</f>
        <v/>
      </c>
      <c r="AE61" s="225">
        <f t="shared" si="26"/>
        <v>1000</v>
      </c>
    </row>
    <row r="62" spans="1:31" x14ac:dyDescent="0.25">
      <c r="A62" s="28">
        <v>49</v>
      </c>
      <c r="B62" s="29">
        <f>IF(A62&lt;&gt;0,VLOOKUP(A62,Liste!$A$10:$D$59,4,FALSE),"")</f>
        <v>0</v>
      </c>
      <c r="C62" s="58">
        <f t="shared" si="15"/>
        <v>0</v>
      </c>
      <c r="D62" s="58">
        <f t="shared" si="16"/>
        <v>0</v>
      </c>
      <c r="E62" s="58">
        <f t="shared" si="17"/>
        <v>0</v>
      </c>
      <c r="F62" s="78">
        <f t="shared" si="18"/>
        <v>0</v>
      </c>
      <c r="G62" s="131"/>
      <c r="H62" s="132"/>
      <c r="I62" s="78">
        <f t="shared" si="19"/>
        <v>0</v>
      </c>
      <c r="J62" s="78">
        <f t="shared" si="20"/>
        <v>0</v>
      </c>
      <c r="K62" s="33"/>
      <c r="L62" s="34"/>
      <c r="M62" s="34"/>
      <c r="N62" s="214" t="str">
        <f t="shared" si="21"/>
        <v/>
      </c>
      <c r="O62" s="144" t="str">
        <f t="shared" si="22"/>
        <v/>
      </c>
      <c r="P62" s="20">
        <f t="shared" si="23"/>
        <v>5</v>
      </c>
      <c r="Q62" s="221" t="str">
        <f>IF(A62&lt;&gt;0,VLOOKUP(A62,Liste!$A$10:$K$59,8,FALSE),"")</f>
        <v/>
      </c>
      <c r="R62" s="33"/>
      <c r="S62" s="33"/>
      <c r="T62" s="33"/>
      <c r="U62" s="33"/>
      <c r="V62" s="33"/>
      <c r="W62" s="33"/>
      <c r="X62" s="33"/>
      <c r="Y62" s="33"/>
      <c r="Z62" s="33"/>
      <c r="AA62" s="33"/>
      <c r="AB62" s="222">
        <f t="shared" si="24"/>
        <v>0</v>
      </c>
      <c r="AC62" s="224">
        <f t="shared" si="25"/>
        <v>0</v>
      </c>
      <c r="AD62" s="224" t="str">
        <f>IF(AC62&gt;3,(SUMIF($H$14:$H$63,A62,$J$14:$J$63)+VLOOKUP(A62,$A$13:AA$63,16+$B$4)),"")</f>
        <v/>
      </c>
      <c r="AE62" s="225">
        <f t="shared" si="26"/>
        <v>1000</v>
      </c>
    </row>
    <row r="63" spans="1:31" x14ac:dyDescent="0.25">
      <c r="A63" s="28">
        <v>50</v>
      </c>
      <c r="B63" s="29">
        <f>IF(A63&lt;&gt;0,VLOOKUP(A63,Liste!$A$10:$D$59,4,FALSE),"")</f>
        <v>0</v>
      </c>
      <c r="C63" s="58">
        <f t="shared" si="15"/>
        <v>0</v>
      </c>
      <c r="D63" s="58">
        <f t="shared" si="16"/>
        <v>0</v>
      </c>
      <c r="E63" s="58">
        <f t="shared" si="17"/>
        <v>0</v>
      </c>
      <c r="F63" s="78">
        <f t="shared" si="18"/>
        <v>0</v>
      </c>
      <c r="G63" s="131"/>
      <c r="H63" s="132"/>
      <c r="I63" s="78">
        <f>1*(IF(G63=1,VLOOKUP(A63,$A$14:$AA$63,16+$B$4,0)&gt;0))</f>
        <v>0</v>
      </c>
      <c r="J63" s="78">
        <f t="shared" si="20"/>
        <v>0</v>
      </c>
      <c r="K63" s="33"/>
      <c r="L63" s="34"/>
      <c r="M63" s="34"/>
      <c r="N63" s="214" t="str">
        <f t="shared" si="21"/>
        <v/>
      </c>
      <c r="O63" s="144" t="str">
        <f t="shared" si="22"/>
        <v/>
      </c>
      <c r="P63" s="20">
        <f t="shared" si="23"/>
        <v>5</v>
      </c>
      <c r="Q63" s="221" t="str">
        <f>IF(A63&lt;&gt;0,VLOOKUP(A63,Liste!$A$10:$K$59,8,FALSE),"")</f>
        <v/>
      </c>
      <c r="R63" s="33"/>
      <c r="S63" s="33"/>
      <c r="T63" s="33"/>
      <c r="U63" s="33"/>
      <c r="V63" s="33"/>
      <c r="W63" s="33"/>
      <c r="X63" s="33"/>
      <c r="Y63" s="33"/>
      <c r="Z63" s="33"/>
      <c r="AA63" s="33"/>
      <c r="AB63" s="222">
        <f t="shared" si="24"/>
        <v>0</v>
      </c>
      <c r="AC63" s="224">
        <f t="shared" si="25"/>
        <v>0</v>
      </c>
      <c r="AD63" s="224" t="str">
        <f>IF(AC63&gt;3,(SUMIF($H$14:$H$63,A63,$J$14:$J$63)+VLOOKUP(A63,$A$13:AA$63,16+$B$4)),"")</f>
        <v/>
      </c>
      <c r="AE63" s="225">
        <f t="shared" si="26"/>
        <v>1000</v>
      </c>
    </row>
    <row r="64" spans="1:31" x14ac:dyDescent="0.25">
      <c r="C64" s="55">
        <f t="shared" ref="C64" si="27">F64*(K64=1)</f>
        <v>0</v>
      </c>
      <c r="D64" s="55">
        <f t="shared" ref="D64" si="28">F64*(L64=1)</f>
        <v>0</v>
      </c>
      <c r="E64" s="55">
        <f t="shared" ref="E64" si="29">F64*(M64=1)</f>
        <v>0</v>
      </c>
      <c r="F64" s="100"/>
      <c r="I64" s="55">
        <f>1*(IF(G64=1,VLOOKUP(A64,$A$14:$AA$63,16+$B$4,0)&gt;0))</f>
        <v>0</v>
      </c>
      <c r="J64" s="55">
        <f t="shared" ref="J64" si="30">IF(F64&gt;0,F64,0)</f>
        <v>0</v>
      </c>
      <c r="K64" s="156"/>
      <c r="L64" s="157">
        <f t="shared" ref="L64" si="31">IF(AND(I64=1,H64&gt;0),VLOOKUP(H64,$A$6:$M$63,12,FALSE),0)</f>
        <v>0</v>
      </c>
      <c r="M64" s="159">
        <f>IF(I64=1,1-K64-L64,0)</f>
        <v>0</v>
      </c>
      <c r="N64" s="158" t="str">
        <f>IF(L64+M64&lt;=1,"","FAUX")</f>
        <v/>
      </c>
      <c r="P64" s="101" t="str">
        <f>IF(I64=1,K64*(K64=1)+L64*2*(L64=1)+M64*3*(M64=1),"")</f>
        <v/>
      </c>
      <c r="AB64" s="5">
        <f t="shared" ref="AB64" si="32">(H64+I64)*(J64&gt;0)</f>
        <v>0</v>
      </c>
    </row>
    <row r="65" spans="6:10" x14ac:dyDescent="0.25">
      <c r="F65" s="100"/>
    </row>
    <row r="69" spans="6:10" x14ac:dyDescent="0.25">
      <c r="I69"/>
      <c r="J69"/>
    </row>
    <row r="70" spans="6:10" x14ac:dyDescent="0.25">
      <c r="I70"/>
      <c r="J70"/>
    </row>
    <row r="71" spans="6:10" x14ac:dyDescent="0.25">
      <c r="I71"/>
      <c r="J71"/>
    </row>
    <row r="72" spans="6:10" x14ac:dyDescent="0.25">
      <c r="I72"/>
      <c r="J72"/>
    </row>
    <row r="73" spans="6:10" x14ac:dyDescent="0.25">
      <c r="I73"/>
      <c r="J73"/>
    </row>
    <row r="74" spans="6:10" x14ac:dyDescent="0.25">
      <c r="I74"/>
      <c r="J74"/>
    </row>
    <row r="75" spans="6:10" x14ac:dyDescent="0.25">
      <c r="I75"/>
      <c r="J75"/>
    </row>
    <row r="76" spans="6:10" x14ac:dyDescent="0.25">
      <c r="I76"/>
      <c r="J76"/>
    </row>
    <row r="77" spans="6:10" x14ac:dyDescent="0.25">
      <c r="I77"/>
      <c r="J77"/>
    </row>
    <row r="78" spans="6:10" x14ac:dyDescent="0.25">
      <c r="I78"/>
      <c r="J78"/>
    </row>
    <row r="79" spans="6:10" x14ac:dyDescent="0.25">
      <c r="I79"/>
      <c r="J79"/>
    </row>
    <row r="80" spans="6:10" x14ac:dyDescent="0.25">
      <c r="I80"/>
      <c r="J80"/>
    </row>
    <row r="81" spans="9:10" x14ac:dyDescent="0.25">
      <c r="I81"/>
      <c r="J81"/>
    </row>
    <row r="82" spans="9:10" x14ac:dyDescent="0.25">
      <c r="I82"/>
      <c r="J82"/>
    </row>
    <row r="83" spans="9:10" x14ac:dyDescent="0.25">
      <c r="I83"/>
      <c r="J83"/>
    </row>
    <row r="84" spans="9:10" x14ac:dyDescent="0.25">
      <c r="I84"/>
      <c r="J84"/>
    </row>
    <row r="85" spans="9:10" x14ac:dyDescent="0.25">
      <c r="I85"/>
      <c r="J85"/>
    </row>
    <row r="86" spans="9:10" x14ac:dyDescent="0.25">
      <c r="I86"/>
      <c r="J86"/>
    </row>
    <row r="87" spans="9:10" x14ac:dyDescent="0.25">
      <c r="I87"/>
      <c r="J87"/>
    </row>
    <row r="88" spans="9:10" x14ac:dyDescent="0.25">
      <c r="I88"/>
      <c r="J88"/>
    </row>
    <row r="89" spans="9:10" x14ac:dyDescent="0.25">
      <c r="I89"/>
      <c r="J89"/>
    </row>
    <row r="90" spans="9:10" x14ac:dyDescent="0.25">
      <c r="I90"/>
      <c r="J90"/>
    </row>
    <row r="91" spans="9:10" x14ac:dyDescent="0.25">
      <c r="I91"/>
      <c r="J91"/>
    </row>
    <row r="92" spans="9:10" x14ac:dyDescent="0.25">
      <c r="I92"/>
      <c r="J92"/>
    </row>
    <row r="93" spans="9:10" x14ac:dyDescent="0.25">
      <c r="I93"/>
      <c r="J93"/>
    </row>
    <row r="94" spans="9:10" x14ac:dyDescent="0.25">
      <c r="I94"/>
      <c r="J94"/>
    </row>
    <row r="95" spans="9:10" x14ac:dyDescent="0.25">
      <c r="I95"/>
      <c r="J95"/>
    </row>
  </sheetData>
  <sortState ref="A14:AE63">
    <sortCondition ref="P14"/>
  </sortState>
  <mergeCells count="1">
    <mergeCell ref="G7:H8"/>
  </mergeCells>
  <conditionalFormatting sqref="J14:J63">
    <cfRule type="cellIs" dxfId="105" priority="7" stopIfTrue="1" operator="equal">
      <formula>0</formula>
    </cfRule>
  </conditionalFormatting>
  <conditionalFormatting sqref="H14:H63">
    <cfRule type="cellIs" dxfId="104" priority="6" stopIfTrue="1" operator="greaterThan">
      <formula>0</formula>
    </cfRule>
  </conditionalFormatting>
  <conditionalFormatting sqref="G7:H8">
    <cfRule type="cellIs" dxfId="103" priority="5" operator="greaterThan">
      <formula>1</formula>
    </cfRule>
  </conditionalFormatting>
  <conditionalFormatting sqref="O14:O63">
    <cfRule type="cellIs" dxfId="102" priority="3" operator="equal">
      <formula>1</formula>
    </cfRule>
    <cfRule type="cellIs" dxfId="101" priority="4" operator="equal">
      <formula>1</formula>
    </cfRule>
  </conditionalFormatting>
  <conditionalFormatting sqref="AC11">
    <cfRule type="cellIs" dxfId="100" priority="2" operator="greaterThan">
      <formula>0</formula>
    </cfRule>
  </conditionalFormatting>
  <conditionalFormatting sqref="N14:N63">
    <cfRule type="containsText" dxfId="99" priority="1" operator="containsText" text="ERREUR">
      <formula>NOT(ISERROR(SEARCH("ERREUR",N14)))</formula>
    </cfRule>
  </conditionalFormatting>
  <dataValidations count="6">
    <dataValidation type="custom" allowBlank="1" showInputMessage="1" showErrorMessage="1" sqref="O3">
      <formula1>"&gt;)1"</formula1>
    </dataValidation>
    <dataValidation type="whole" allowBlank="1" showInputMessage="1" showErrorMessage="1" sqref="G14:G62">
      <formula1>0</formula1>
      <formula2>3</formula2>
    </dataValidation>
    <dataValidation type="whole" allowBlank="1" showInputMessage="1" showErrorMessage="1" sqref="G63">
      <formula1>0</formula1>
      <formula2>4</formula2>
    </dataValidation>
    <dataValidation type="whole" allowBlank="1" showInputMessage="1" showErrorMessage="1" sqref="K14:M63">
      <formula1>0</formula1>
      <formula2>1</formula2>
    </dataValidation>
    <dataValidation type="custom" allowBlank="1" showInputMessage="1" showErrorMessage="1" sqref="O2 Q3:AA4 AC11 F14:F63 AI8:AJ10 K64 AC14:AC63 E10:E11 Q14:Q63 AI3:AJ3 I14:J63 AB14:AB64 N3 Q13:AA13 L7:M7 AK2:AL3 C3:J3 N6:N7 O14:O63 AH2:AH3 AC3:AG3 AF5:AF6 AF8:AF9 C14:E37">
      <formula1>"&gt;=1"</formula1>
    </dataValidation>
    <dataValidation type="whole" allowBlank="1" showInputMessage="1" showErrorMessage="1" sqref="H14:H63">
      <formula1>1</formula1>
      <formula2>500</formula2>
    </dataValidation>
  </dataValidations>
  <pageMargins left="0.7" right="0.7" top="0.75" bottom="0.75" header="0.3" footer="0.3"/>
  <pageSetup paperSize="9"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9"/>
  </sheetPr>
  <dimension ref="A2:P1048576"/>
  <sheetViews>
    <sheetView showWhiteSpace="0" topLeftCell="A49" zoomScaleNormal="100" workbookViewId="0">
      <selection activeCell="C221" sqref="C221"/>
    </sheetView>
  </sheetViews>
  <sheetFormatPr baseColWidth="10" defaultRowHeight="13.2" x14ac:dyDescent="0.25"/>
  <cols>
    <col min="3" max="3" width="23.44140625" customWidth="1"/>
    <col min="4" max="4" width="4.5546875" customWidth="1"/>
    <col min="5" max="5" width="14.5546875" customWidth="1"/>
    <col min="6" max="6" width="4.5546875" customWidth="1"/>
    <col min="7" max="7" width="18.88671875" customWidth="1"/>
  </cols>
  <sheetData>
    <row r="2" spans="1:16" ht="17.399999999999999" x14ac:dyDescent="0.3">
      <c r="D2" s="112" t="s">
        <v>93</v>
      </c>
      <c r="E2" s="112"/>
      <c r="F2" s="112"/>
      <c r="K2" s="133" t="s">
        <v>98</v>
      </c>
      <c r="L2" s="177">
        <v>1</v>
      </c>
    </row>
    <row r="3" spans="1:16" x14ac:dyDescent="0.25">
      <c r="E3" s="133" t="s">
        <v>114</v>
      </c>
      <c r="F3" s="133"/>
      <c r="G3" s="152">
        <f>IF(A6&gt;0,Liste!$C$1,"")</f>
        <v>44084</v>
      </c>
    </row>
    <row r="4" spans="1:16" x14ac:dyDescent="0.25">
      <c r="D4" t="str">
        <f>IF(A6&gt;0,Liste!$C$3&amp;"; "&amp;Liste!$C$4&amp;" "&amp;Liste!$C$5,"""")</f>
        <v>Résidence Le Paradis; Rue de l' espoir 75016 PARIS</v>
      </c>
      <c r="E4" s="152"/>
      <c r="F4" s="152"/>
      <c r="G4" s="152"/>
      <c r="L4">
        <f>SUM(C5:C1000)</f>
        <v>10000</v>
      </c>
      <c r="M4" s="180"/>
      <c r="N4" s="82"/>
      <c r="O4">
        <f>SUM($E$5:$E$1000)</f>
        <v>10000</v>
      </c>
      <c r="P4" s="82"/>
    </row>
    <row r="5" spans="1:16" ht="13.8" thickBot="1" x14ac:dyDescent="0.3">
      <c r="A5" s="122"/>
      <c r="B5" s="122"/>
      <c r="C5" s="122"/>
      <c r="D5" s="122"/>
      <c r="E5" s="122"/>
      <c r="F5" s="122"/>
      <c r="G5" s="122"/>
      <c r="H5" s="122"/>
      <c r="I5" s="122"/>
      <c r="J5" s="122"/>
      <c r="K5" s="122"/>
      <c r="L5" s="122"/>
      <c r="M5" s="82"/>
      <c r="N5" s="82"/>
      <c r="O5" s="82"/>
      <c r="P5" s="82"/>
    </row>
    <row r="6" spans="1:16" ht="18.75" customHeight="1" x14ac:dyDescent="0.25">
      <c r="A6" s="120">
        <f>Liste!G1</f>
        <v>1</v>
      </c>
      <c r="B6" s="121"/>
      <c r="C6" s="82"/>
      <c r="D6" s="82"/>
      <c r="E6" s="82"/>
      <c r="F6" s="183"/>
      <c r="G6" s="181" t="s">
        <v>162</v>
      </c>
      <c r="H6" s="166"/>
      <c r="I6" s="166"/>
      <c r="J6" s="166"/>
      <c r="K6" s="166"/>
      <c r="L6" s="175"/>
    </row>
    <row r="7" spans="1:16" ht="18" thickBot="1" x14ac:dyDescent="0.35">
      <c r="A7" s="83" t="str">
        <f>IF($A6&lt;&gt;0,VLOOKUP($A6,Liste!$A$10:$W$59,3,FALSE),"")</f>
        <v>Monsieur</v>
      </c>
      <c r="B7" s="185" t="str">
        <f>IF($A6&lt;&gt;0,VLOOKUP($A6,Liste!$A$10:$W$59,4,FALSE),"")</f>
        <v>ALADIN André</v>
      </c>
      <c r="E7" s="109">
        <f>IF($A6&lt;&gt;0,VLOOKUP($A6,Liste!$A$10:$W$59,8,FALSE),"")</f>
        <v>425</v>
      </c>
      <c r="F7" s="184"/>
      <c r="G7" s="182" t="s">
        <v>158</v>
      </c>
      <c r="H7" s="106"/>
      <c r="I7" s="106"/>
      <c r="J7" s="106"/>
      <c r="K7" s="106"/>
      <c r="L7" s="26"/>
    </row>
    <row r="8" spans="1:16" x14ac:dyDescent="0.25">
      <c r="A8" s="114" t="str">
        <f>IF($A6&lt;&gt;0,VLOOKUP($A6,Liste!$A$10:$W$59,5,FALSE),"")</f>
        <v>13 rue de l' espoir</v>
      </c>
      <c r="F8" s="170"/>
      <c r="G8" s="171" t="s">
        <v>163</v>
      </c>
      <c r="H8" s="171"/>
      <c r="I8" s="171"/>
      <c r="J8" s="171"/>
      <c r="K8" s="171"/>
      <c r="L8" s="127"/>
    </row>
    <row r="9" spans="1:16" x14ac:dyDescent="0.25">
      <c r="A9" s="114">
        <f>IF($A6&lt;&gt;0,VLOOKUP($A6,Liste!$A$10:$W$59,6,FALSE),"")</f>
        <v>75016</v>
      </c>
      <c r="B9" s="107" t="str">
        <f>IF($A6&lt;&gt;0,VLOOKUP($A6,Liste!$A$10:$W$59,7,FALSE),"")</f>
        <v xml:space="preserve">Paris </v>
      </c>
      <c r="F9" s="172"/>
      <c r="G9" s="82"/>
      <c r="H9" s="82"/>
      <c r="I9" s="82"/>
      <c r="J9" s="82"/>
      <c r="K9" s="82"/>
      <c r="L9" s="89"/>
    </row>
    <row r="10" spans="1:16" x14ac:dyDescent="0.25">
      <c r="A10" s="115" t="str">
        <f xml:space="preserve"> IF($A6&lt;&gt;0, "Lot " &amp; VLOOKUP($A6,Liste!$A$10:$W$59,9,FALSE),"")</f>
        <v>Lot 1</v>
      </c>
      <c r="B10" s="111" t="str">
        <f>IF($A6&lt;&gt;0,VLOOKUP($A6,Liste!$A$10:$W$59,10,FALSE),"")</f>
        <v>Appart,</v>
      </c>
      <c r="C10" s="110">
        <f>IF($A6&lt;&gt;0,VLOOKUP($A6,Liste!$A$10:$W$59,11,FALSE),"")</f>
        <v>370</v>
      </c>
      <c r="F10" s="172"/>
      <c r="G10" s="82"/>
      <c r="H10" s="82"/>
      <c r="I10" s="82"/>
      <c r="J10" s="82"/>
      <c r="K10" s="82"/>
      <c r="L10" s="89"/>
    </row>
    <row r="11" spans="1:16" ht="13.8" thickBot="1" x14ac:dyDescent="0.3">
      <c r="A11" s="115" t="str">
        <f>IF($A6&lt;&gt;0,"Lot " &amp; VLOOKUP($A6,Liste!$A$10:$W$59,12,FALSE),"")</f>
        <v>Lot 26</v>
      </c>
      <c r="B11" s="111" t="str">
        <f>IF($A6&lt;&gt;0,VLOOKUP($A6,Liste!$A$10:$W$59,13,FALSE),"")</f>
        <v>Cave</v>
      </c>
      <c r="C11" s="110">
        <f>IF($A6&lt;&gt;0,VLOOKUP($A6,Liste!$A$10:$W$59,14,FALSE),"")</f>
        <v>20</v>
      </c>
      <c r="D11" s="111"/>
      <c r="E11" s="116"/>
      <c r="F11" s="173"/>
      <c r="G11" s="122"/>
      <c r="H11" s="122"/>
      <c r="I11" s="122"/>
      <c r="J11" s="122"/>
      <c r="K11" s="122"/>
      <c r="L11" s="128"/>
    </row>
    <row r="12" spans="1:16" x14ac:dyDescent="0.25">
      <c r="A12" s="125" t="str">
        <f>IF($A6&lt;&gt;0,"Lot " &amp; VLOOKUP($A6,Liste!$A$10:$W$59,15,FALSE),"")</f>
        <v>Lot 51</v>
      </c>
      <c r="B12" s="119" t="str">
        <f>IF($A6&lt;&gt;0,VLOOKUP($A6,Liste!$A$10:$W$59,16,FALSE),"")</f>
        <v>Parking</v>
      </c>
      <c r="C12" s="119">
        <f>IF($A6&lt;&gt;0,VLOOKUP($A6,Liste!$A$10:$W$59,17,FALSE),"")</f>
        <v>10</v>
      </c>
      <c r="D12" s="119"/>
      <c r="E12" s="116"/>
      <c r="F12" s="168"/>
      <c r="G12" s="168" t="s">
        <v>159</v>
      </c>
      <c r="H12" s="174" t="s">
        <v>160</v>
      </c>
      <c r="I12" s="84"/>
      <c r="J12" s="84"/>
      <c r="K12" s="84"/>
      <c r="L12" s="108"/>
    </row>
    <row r="13" spans="1:16" x14ac:dyDescent="0.25">
      <c r="A13" s="125" t="str">
        <f>IF($A6&lt;&gt;0,"Lot " &amp; VLOOKUP($A6,Liste!$A$10:$W$59,18,FALSE),"")</f>
        <v xml:space="preserve">Lot </v>
      </c>
      <c r="B13" s="119">
        <f>IF($A6&lt;&gt;0,VLOOKUP($A6,Liste!$A$10:$W$59,19,FALSE),"")</f>
        <v>0</v>
      </c>
      <c r="C13" s="119">
        <f>IF($A6&lt;&gt;0,VLOOKUP($A6,Liste!$A$10:$W$59,19,FALSE),"")</f>
        <v>0</v>
      </c>
      <c r="E13" s="116"/>
      <c r="F13" s="169"/>
      <c r="G13" s="169" t="s">
        <v>161</v>
      </c>
      <c r="H13" s="174" t="s">
        <v>160</v>
      </c>
      <c r="I13" s="167"/>
      <c r="J13" s="167"/>
      <c r="K13" s="167"/>
      <c r="L13" s="176"/>
    </row>
    <row r="14" spans="1:16" ht="13.8" thickBot="1" x14ac:dyDescent="0.3">
      <c r="A14" s="124" t="str">
        <f>IF($A6&lt;&gt;0,"Lot " &amp; VLOOKUP($A6,Liste!$A$10:$W$59,21,FALSE),"")</f>
        <v>Lot 82</v>
      </c>
      <c r="B14" s="123" t="str">
        <f>IF($A6&lt;&gt;0,VLOOKUP($A6,Liste!$A$10:$W$59,22,FALSE),"")</f>
        <v>Box</v>
      </c>
      <c r="C14" s="123">
        <f>IF($A6&lt;&gt;0,VLOOKUP($A6,Liste!$A$10:$W$59,23,FALSE),"")</f>
        <v>25</v>
      </c>
      <c r="D14" s="122"/>
      <c r="E14" s="122"/>
      <c r="F14" s="122"/>
      <c r="G14" s="226" t="str">
        <f>IF(OR(B7=0,VLOOKUP(A6,Liste!$A$10:'Liste'!$Z$59,26)&lt;&gt;""),"", "Voir autorisation messages électroniques")</f>
        <v/>
      </c>
      <c r="H14" s="226"/>
      <c r="I14" s="226"/>
      <c r="J14" s="122"/>
      <c r="K14" s="122"/>
      <c r="L14" s="128"/>
    </row>
    <row r="15" spans="1:16" ht="16.5" customHeight="1" x14ac:dyDescent="0.25">
      <c r="A15" s="120">
        <f>A6+1</f>
        <v>2</v>
      </c>
      <c r="B15" s="121"/>
      <c r="C15" s="82"/>
      <c r="D15" s="82"/>
      <c r="E15" s="82"/>
      <c r="F15" s="183"/>
      <c r="G15" s="181" t="s">
        <v>162</v>
      </c>
      <c r="H15" s="166"/>
      <c r="I15" s="166"/>
      <c r="J15" s="166"/>
      <c r="K15" s="166"/>
      <c r="L15" s="175"/>
    </row>
    <row r="16" spans="1:16" ht="18" thickBot="1" x14ac:dyDescent="0.35">
      <c r="A16" s="83" t="str">
        <f>IF($A15&lt;&gt;0,VLOOKUP($A15,Liste!$A$10:$W$59,3,FALSE),"")</f>
        <v>Madame</v>
      </c>
      <c r="B16" s="185" t="str">
        <f>IF($A15&lt;&gt;0,VLOOKUP($A15,Liste!$A$10:$W$59,4,FALSE),"")</f>
        <v>AMONICA Marie</v>
      </c>
      <c r="E16" s="109">
        <f>IF($A15&lt;&gt;0,VLOOKUP($A15,Liste!$A$10:$W$59,8,FALSE),"")</f>
        <v>335</v>
      </c>
      <c r="F16" s="184"/>
      <c r="G16" s="182" t="s">
        <v>158</v>
      </c>
      <c r="H16" s="106"/>
      <c r="I16" s="106"/>
      <c r="J16" s="106"/>
      <c r="K16" s="106"/>
      <c r="L16" s="26"/>
    </row>
    <row r="17" spans="1:12" x14ac:dyDescent="0.25">
      <c r="A17" s="114" t="str">
        <f>IF($A15&lt;&gt;0,VLOOKUP($A15,Liste!$A$10:$W$59,5,FALSE),"")</f>
        <v>14 rue de l' espoir</v>
      </c>
      <c r="F17" s="170"/>
      <c r="G17" s="171" t="s">
        <v>163</v>
      </c>
      <c r="H17" s="171"/>
      <c r="I17" s="171"/>
      <c r="J17" s="171"/>
      <c r="K17" s="171"/>
      <c r="L17" s="127"/>
    </row>
    <row r="18" spans="1:12" x14ac:dyDescent="0.25">
      <c r="A18" s="114">
        <f>IF($A15&lt;&gt;0,VLOOKUP($A15,Liste!$A$10:$W$59,6,FALSE),"")</f>
        <v>75016</v>
      </c>
      <c r="B18" s="107" t="str">
        <f>IF($A15&lt;&gt;0,VLOOKUP($A15,Liste!$A$10:$W$59,7,FALSE),"")</f>
        <v xml:space="preserve">Paris </v>
      </c>
      <c r="F18" s="172"/>
      <c r="G18" s="82"/>
      <c r="H18" s="82"/>
      <c r="I18" s="82"/>
      <c r="J18" s="82"/>
      <c r="K18" s="82"/>
      <c r="L18" s="89"/>
    </row>
    <row r="19" spans="1:12" x14ac:dyDescent="0.25">
      <c r="A19" s="115" t="str">
        <f xml:space="preserve"> IF($A15&lt;&gt;0, "Lot " &amp; VLOOKUP($A15,Liste!$A$10:$W$59,9,FALSE),"")</f>
        <v>Lot 2</v>
      </c>
      <c r="B19" s="111" t="str">
        <f>IF($A15&lt;&gt;0,VLOOKUP($A15,Liste!$A$10:$W$59,10,FALSE),"")</f>
        <v>Appart,</v>
      </c>
      <c r="C19" s="110">
        <f>IF($A15&lt;&gt;0,VLOOKUP($A15,Liste!$A$10:$W$59,11,FALSE),"")</f>
        <v>275</v>
      </c>
      <c r="F19" s="172"/>
      <c r="G19" s="82"/>
      <c r="H19" s="82"/>
      <c r="I19" s="82"/>
      <c r="J19" s="82"/>
      <c r="K19" s="82"/>
      <c r="L19" s="89"/>
    </row>
    <row r="20" spans="1:12" ht="13.8" thickBot="1" x14ac:dyDescent="0.3">
      <c r="A20" s="115" t="str">
        <f>IF($A15&lt;&gt;0,"Lot " &amp; VLOOKUP($A15,Liste!$A$10:$W$59,12,FALSE),"")</f>
        <v>Lot 27</v>
      </c>
      <c r="B20" s="111" t="str">
        <f>IF($A15&lt;&gt;0,VLOOKUP($A15,Liste!$A$10:$W$59,13,FALSE),"")</f>
        <v>Cave</v>
      </c>
      <c r="C20" s="110">
        <f>IF($A15&lt;&gt;0,VLOOKUP($A15,Liste!$A$10:$W$59,14,FALSE),"")</f>
        <v>20</v>
      </c>
      <c r="D20" s="111"/>
      <c r="E20" s="116"/>
      <c r="F20" s="173"/>
      <c r="G20" s="122"/>
      <c r="H20" s="122"/>
      <c r="I20" s="122"/>
      <c r="J20" s="122"/>
      <c r="K20" s="122"/>
      <c r="L20" s="128"/>
    </row>
    <row r="21" spans="1:12" x14ac:dyDescent="0.25">
      <c r="A21" s="125" t="str">
        <f>IF($A15&lt;&gt;0,"Lot " &amp; VLOOKUP($A15,Liste!$A$10:$W$59,15,FALSE),"")</f>
        <v>Lot 52</v>
      </c>
      <c r="B21" s="119" t="str">
        <f>IF($A15&lt;&gt;0,VLOOKUP($A15,Liste!$A$10:$W$59,16,FALSE),"")</f>
        <v>Parking</v>
      </c>
      <c r="C21" s="119">
        <f>IF($A15&lt;&gt;0,VLOOKUP($A15,Liste!$A$10:$W$59,17,FALSE),"")</f>
        <v>10</v>
      </c>
      <c r="D21" s="119"/>
      <c r="E21" s="125"/>
      <c r="F21" s="168"/>
      <c r="G21" s="168" t="s">
        <v>159</v>
      </c>
      <c r="H21" s="174" t="s">
        <v>160</v>
      </c>
      <c r="I21" s="84"/>
      <c r="J21" s="84"/>
      <c r="K21" s="84"/>
      <c r="L21" s="108"/>
    </row>
    <row r="22" spans="1:12" x14ac:dyDescent="0.25">
      <c r="A22" s="125" t="str">
        <f>IF($A15&lt;&gt;0,"Lot " &amp; VLOOKUP($A15,Liste!$A$10:$W$59,18,FALSE),"")</f>
        <v>Lot 76</v>
      </c>
      <c r="B22" s="119" t="str">
        <f>IF($A15&lt;&gt;0,VLOOKUP($A15,Liste!$A$10:$W$59,19,FALSE),"")</f>
        <v>Garage</v>
      </c>
      <c r="C22" s="119">
        <f>IF($A15&lt;&gt;0,VLOOKUP($A15,Liste!$A$10:$W$59,20,FALSE),"")</f>
        <v>30</v>
      </c>
      <c r="F22" s="169"/>
      <c r="G22" s="169" t="s">
        <v>161</v>
      </c>
      <c r="H22" s="174" t="s">
        <v>160</v>
      </c>
      <c r="I22" s="167"/>
      <c r="J22" s="167"/>
      <c r="K22" s="167"/>
      <c r="L22" s="176"/>
    </row>
    <row r="23" spans="1:12" ht="13.8" thickBot="1" x14ac:dyDescent="0.3">
      <c r="A23" s="124" t="str">
        <f>IF($A15&lt;&gt;0,"Lot " &amp; VLOOKUP($A15,Liste!$A$10:$W$59,21,FALSE),"")</f>
        <v xml:space="preserve">Lot </v>
      </c>
      <c r="B23" s="123">
        <f>IF($A15&lt;&gt;0,VLOOKUP($A15,Liste!$A$10:$W$59,22,FALSE),"")</f>
        <v>0</v>
      </c>
      <c r="C23" s="123">
        <f>IF($A15&lt;&gt;0,VLOOKUP($A15,Liste!$A$10:$W$59,23,FALSE),"")</f>
        <v>0</v>
      </c>
      <c r="D23" s="122"/>
      <c r="E23" s="122"/>
      <c r="F23" s="122"/>
      <c r="G23" s="226" t="str">
        <f>IF(OR(B16=0,VLOOKUP(A15,Liste!$A$10:'Liste'!$Z$59,26)&lt;&gt;""),"", "Voir autorisation messages électroniques")</f>
        <v>Voir autorisation messages électroniques</v>
      </c>
      <c r="H23" s="226"/>
      <c r="I23" s="226"/>
      <c r="J23" s="122"/>
      <c r="K23" s="122"/>
      <c r="L23" s="128"/>
    </row>
    <row r="24" spans="1:12" ht="18.75" customHeight="1" x14ac:dyDescent="0.25">
      <c r="A24" s="120">
        <f>A15+1</f>
        <v>3</v>
      </c>
      <c r="B24" s="121"/>
      <c r="C24" s="82"/>
      <c r="D24" s="82"/>
      <c r="E24" s="82"/>
      <c r="F24" s="183"/>
      <c r="G24" s="181" t="s">
        <v>162</v>
      </c>
      <c r="H24" s="166"/>
      <c r="I24" s="166"/>
      <c r="J24" s="166"/>
      <c r="K24" s="166"/>
      <c r="L24" s="175"/>
    </row>
    <row r="25" spans="1:12" ht="18" thickBot="1" x14ac:dyDescent="0.35">
      <c r="A25" s="83" t="str">
        <f>IF($A24&lt;&gt;0,VLOOKUP($A24,Liste!$A$10:$W$59,3,FALSE),"")</f>
        <v>Mr  et Mme</v>
      </c>
      <c r="B25" s="107" t="str">
        <f>IF($A24&lt;&gt;0,VLOOKUP($A24,Liste!$A$10:$W$59,4,FALSE),"")</f>
        <v>AMSALAM Marcel</v>
      </c>
      <c r="E25" s="109">
        <f>IF($A24&lt;&gt;0,VLOOKUP($A24,Liste!$A$10:$W$59,8,FALSE),"")</f>
        <v>415</v>
      </c>
      <c r="F25" s="184"/>
      <c r="G25" s="182" t="s">
        <v>158</v>
      </c>
      <c r="H25" s="106"/>
      <c r="I25" s="106"/>
      <c r="J25" s="106"/>
      <c r="K25" s="106"/>
      <c r="L25" s="26"/>
    </row>
    <row r="26" spans="1:12" x14ac:dyDescent="0.25">
      <c r="A26" s="114" t="str">
        <f>IF($A24&lt;&gt;0,VLOOKUP($A24,Liste!$A$10:$W$59,5,FALSE),"")</f>
        <v>15 rue de l' espoir</v>
      </c>
      <c r="F26" s="170"/>
      <c r="G26" s="171" t="s">
        <v>163</v>
      </c>
      <c r="H26" s="171"/>
      <c r="I26" s="171"/>
      <c r="J26" s="171"/>
      <c r="K26" s="171"/>
      <c r="L26" s="127"/>
    </row>
    <row r="27" spans="1:12" x14ac:dyDescent="0.25">
      <c r="A27" s="114">
        <f>IF($A24&lt;&gt;0,VLOOKUP($A24,Liste!$A$10:$W$59,6,FALSE),"")</f>
        <v>75016</v>
      </c>
      <c r="B27" s="107" t="str">
        <f>IF($A24&lt;&gt;0,VLOOKUP($A24,Liste!$A$10:$W$59,7,FALSE),"")</f>
        <v xml:space="preserve">Paris </v>
      </c>
      <c r="F27" s="172"/>
      <c r="G27" s="82"/>
      <c r="H27" s="82"/>
      <c r="I27" s="82"/>
      <c r="J27" s="82"/>
      <c r="K27" s="82"/>
      <c r="L27" s="89"/>
    </row>
    <row r="28" spans="1:12" x14ac:dyDescent="0.25">
      <c r="A28" s="115" t="str">
        <f xml:space="preserve"> IF($A24&lt;&gt;0, "Lot " &amp; VLOOKUP($A24,Liste!$A$10:$W$59,9,FALSE),"")</f>
        <v>Lot 3</v>
      </c>
      <c r="B28" s="111" t="str">
        <f>IF($A24&lt;&gt;0,VLOOKUP($A24,Liste!$A$10:$W$59,10,FALSE),"")</f>
        <v>Appart,</v>
      </c>
      <c r="C28" s="110">
        <f>IF($A24&lt;&gt;0,VLOOKUP($A24,Liste!$A$10:$W$59,11,FALSE),"")</f>
        <v>385</v>
      </c>
      <c r="F28" s="172"/>
      <c r="G28" s="82"/>
      <c r="H28" s="82"/>
      <c r="I28" s="82"/>
      <c r="J28" s="82"/>
      <c r="K28" s="82"/>
      <c r="L28" s="89"/>
    </row>
    <row r="29" spans="1:12" ht="13.8" thickBot="1" x14ac:dyDescent="0.3">
      <c r="A29" s="115" t="str">
        <f>IF($A24&lt;&gt;0,"Lot " &amp; VLOOKUP($A24,Liste!$A$10:$W$59,12,FALSE),"")</f>
        <v>Lot 28</v>
      </c>
      <c r="B29" s="111" t="str">
        <f>IF($A24&lt;&gt;0,VLOOKUP($A24,Liste!$A$10:$W$59,13,FALSE),"")</f>
        <v>Cave</v>
      </c>
      <c r="C29" s="110">
        <f>IF($A24&lt;&gt;0,VLOOKUP($A24,Liste!$A$10:$W$59,14,FALSE),"")</f>
        <v>20</v>
      </c>
      <c r="D29" s="111"/>
      <c r="E29" s="116"/>
      <c r="F29" s="173"/>
      <c r="G29" s="122"/>
      <c r="H29" s="122"/>
      <c r="I29" s="122"/>
      <c r="J29" s="122"/>
      <c r="K29" s="122"/>
      <c r="L29" s="128"/>
    </row>
    <row r="30" spans="1:12" x14ac:dyDescent="0.25">
      <c r="A30" s="125" t="str">
        <f>IF($A24&lt;&gt;0,"Lot " &amp; VLOOKUP($A24,Liste!$A$10:$W$59,15,FALSE),"")</f>
        <v>Lot 53</v>
      </c>
      <c r="B30" s="119" t="str">
        <f>IF($A24&lt;&gt;0,VLOOKUP($A24,Liste!$A$10:$W$59,16,FALSE),"")</f>
        <v>Parking</v>
      </c>
      <c r="C30" s="119">
        <f>IF($A24&lt;&gt;0,VLOOKUP($A24,Liste!$A$10:$W$59,17,FALSE),"")</f>
        <v>10</v>
      </c>
      <c r="D30" s="119"/>
      <c r="E30" s="125"/>
      <c r="F30" s="168"/>
      <c r="G30" s="168" t="s">
        <v>159</v>
      </c>
      <c r="H30" s="174" t="s">
        <v>160</v>
      </c>
      <c r="I30" s="84"/>
      <c r="J30" s="84"/>
      <c r="K30" s="84"/>
      <c r="L30" s="108"/>
    </row>
    <row r="31" spans="1:12" x14ac:dyDescent="0.25">
      <c r="A31" s="125" t="str">
        <f>IF($A24&lt;&gt;0,"Lot " &amp; VLOOKUP($A24,Liste!$A$10:$W$59,18,FALSE),"")</f>
        <v xml:space="preserve">Lot </v>
      </c>
      <c r="B31" s="119">
        <f>IF($A24&lt;&gt;0,VLOOKUP($A24,Liste!$A$10:$W$59,19,FALSE),"")</f>
        <v>0</v>
      </c>
      <c r="C31" s="119">
        <f>IF($A24&lt;&gt;0,VLOOKUP($A24,Liste!$A$10:$W$59,20,FALSE),"")</f>
        <v>0</v>
      </c>
      <c r="F31" s="169"/>
      <c r="G31" s="169" t="s">
        <v>161</v>
      </c>
      <c r="H31" s="174" t="s">
        <v>160</v>
      </c>
      <c r="I31" s="167"/>
      <c r="J31" s="167"/>
      <c r="K31" s="167"/>
      <c r="L31" s="176"/>
    </row>
    <row r="32" spans="1:12" ht="13.8" thickBot="1" x14ac:dyDescent="0.3">
      <c r="A32" s="124" t="str">
        <f>IF($A24&lt;&gt;0,"Lot " &amp; VLOOKUP($A24,Liste!$A$10:$W$59,21,FALSE),"")</f>
        <v xml:space="preserve">Lot </v>
      </c>
      <c r="B32" s="123">
        <f>IF($A24&lt;&gt;0,VLOOKUP($A24,Liste!$A$10:$W$59,22,FALSE),"")</f>
        <v>0</v>
      </c>
      <c r="C32" s="123">
        <f>IF($A24&lt;&gt;0,VLOOKUP($A24,Liste!$A$10:$W$59,23,FALSE),"")</f>
        <v>0</v>
      </c>
      <c r="D32" s="122"/>
      <c r="E32" s="122"/>
      <c r="F32" s="122"/>
      <c r="G32" s="226" t="str">
        <f>IF(OR(B25=0,VLOOKUP(A24,Liste!$A$10:'Liste'!$Z$59,26)&lt;&gt;""),"", "Voir autorisation messages électroniques")</f>
        <v/>
      </c>
      <c r="H32" s="226"/>
      <c r="I32" s="226"/>
      <c r="J32" s="122"/>
      <c r="K32" s="122"/>
      <c r="L32" s="128"/>
    </row>
    <row r="33" spans="1:12" ht="17.25" customHeight="1" x14ac:dyDescent="0.25">
      <c r="A33" s="120">
        <f>A24+1</f>
        <v>4</v>
      </c>
      <c r="B33" s="121"/>
      <c r="C33" s="82"/>
      <c r="D33" s="82"/>
      <c r="E33" s="82"/>
      <c r="F33" s="183"/>
      <c r="G33" s="181" t="s">
        <v>162</v>
      </c>
      <c r="H33" s="166"/>
      <c r="I33" s="166"/>
      <c r="J33" s="166"/>
      <c r="K33" s="166"/>
      <c r="L33" s="175"/>
    </row>
    <row r="34" spans="1:12" ht="18" thickBot="1" x14ac:dyDescent="0.35">
      <c r="A34" s="83" t="str">
        <f>IF($A33&lt;&gt;0,VLOOKUP($A33,Liste!$A$10:$W$59,3,FALSE),"")</f>
        <v>Monsieur</v>
      </c>
      <c r="B34" s="185" t="str">
        <f>IF($A33&lt;&gt;0,VLOOKUP($A33,Liste!$A$10:$W$59,4,FALSE),"")</f>
        <v>ANIEBERT Paul</v>
      </c>
      <c r="E34" s="109">
        <f>IF($A33&lt;&gt;0,VLOOKUP($A33,Liste!$A$10:$W$59,8,FALSE),"")</f>
        <v>320</v>
      </c>
      <c r="F34" s="184"/>
      <c r="G34" s="182" t="s">
        <v>158</v>
      </c>
      <c r="H34" s="106"/>
      <c r="I34" s="106"/>
      <c r="J34" s="106"/>
      <c r="K34" s="106"/>
      <c r="L34" s="26"/>
    </row>
    <row r="35" spans="1:12" x14ac:dyDescent="0.25">
      <c r="A35" s="114" t="str">
        <f>IF($A33&lt;&gt;0,VLOOKUP($A33,Liste!$A$10:$W$59,5,FALSE),"")</f>
        <v>16 rue de l' espoir</v>
      </c>
      <c r="F35" s="170"/>
      <c r="G35" s="171" t="s">
        <v>163</v>
      </c>
      <c r="H35" s="171"/>
      <c r="I35" s="171"/>
      <c r="J35" s="171"/>
      <c r="K35" s="171"/>
      <c r="L35" s="127"/>
    </row>
    <row r="36" spans="1:12" x14ac:dyDescent="0.25">
      <c r="A36" s="114">
        <f>IF($A33&lt;&gt;0,VLOOKUP($A33,Liste!$A$10:$W$59,6,FALSE),"")</f>
        <v>75016</v>
      </c>
      <c r="B36" s="107" t="str">
        <f>IF($A33&lt;&gt;0,VLOOKUP($A33,Liste!$A$10:$W$59,7,FALSE),"")</f>
        <v xml:space="preserve">Paris </v>
      </c>
      <c r="F36" s="172"/>
      <c r="G36" s="82"/>
      <c r="H36" s="82"/>
      <c r="I36" s="82"/>
      <c r="J36" s="82"/>
      <c r="K36" s="82"/>
      <c r="L36" s="89"/>
    </row>
    <row r="37" spans="1:12" x14ac:dyDescent="0.25">
      <c r="A37" s="115" t="str">
        <f xml:space="preserve"> IF($A33&lt;&gt;0, "Lot " &amp; VLOOKUP($A33,Liste!$A$10:$W$59,9,FALSE),"")</f>
        <v>Lot 4</v>
      </c>
      <c r="B37" s="111" t="str">
        <f>IF($A33&lt;&gt;0,VLOOKUP($A33,Liste!$A$10:$W$59,10,FALSE),"")</f>
        <v>Appart,</v>
      </c>
      <c r="C37" s="110">
        <f>IF($A33&lt;&gt;0,VLOOKUP($A33,Liste!$A$10:$W$59,11,FALSE),"")</f>
        <v>260</v>
      </c>
      <c r="F37" s="172"/>
      <c r="G37" s="82"/>
      <c r="H37" s="82"/>
      <c r="I37" s="82"/>
      <c r="J37" s="82"/>
      <c r="K37" s="82"/>
      <c r="L37" s="89"/>
    </row>
    <row r="38" spans="1:12" ht="13.8" thickBot="1" x14ac:dyDescent="0.3">
      <c r="A38" s="115" t="str">
        <f>IF($A33&lt;&gt;0,"Lot " &amp; VLOOKUP($A33,Liste!$A$10:$W$59,12,FALSE),"")</f>
        <v>Lot 29</v>
      </c>
      <c r="B38" s="111" t="str">
        <f>IF($A33&lt;&gt;0,VLOOKUP($A33,Liste!$A$10:$W$59,13,FALSE),"")</f>
        <v>Cave</v>
      </c>
      <c r="C38" s="110">
        <f>IF($A33&lt;&gt;0,VLOOKUP($A33,Liste!$A$10:$W$59,14,FALSE),"")</f>
        <v>20</v>
      </c>
      <c r="D38" s="111"/>
      <c r="E38" s="116"/>
      <c r="F38" s="173"/>
      <c r="G38" s="122"/>
      <c r="H38" s="122"/>
      <c r="I38" s="122"/>
      <c r="J38" s="122"/>
      <c r="K38" s="122"/>
      <c r="L38" s="128"/>
    </row>
    <row r="39" spans="1:12" x14ac:dyDescent="0.25">
      <c r="A39" s="125" t="str">
        <f>IF($A33&lt;&gt;0,"Lot " &amp; VLOOKUP($A33,Liste!$A$10:$W$59,15,FALSE),"")</f>
        <v>Lot 54</v>
      </c>
      <c r="B39" s="119" t="str">
        <f>IF($A33&lt;&gt;0,VLOOKUP($A33,Liste!$A$10:$W$59,16,FALSE),"")</f>
        <v>Parking</v>
      </c>
      <c r="C39" s="119">
        <f>IF($A33&lt;&gt;0,VLOOKUP($A33,Liste!$A$10:$W$59,17,FALSE),"")</f>
        <v>10</v>
      </c>
      <c r="D39" s="119"/>
      <c r="E39" s="125"/>
      <c r="F39" s="168"/>
      <c r="G39" s="168" t="s">
        <v>159</v>
      </c>
      <c r="H39" s="174" t="s">
        <v>160</v>
      </c>
      <c r="I39" s="84"/>
      <c r="J39" s="84"/>
      <c r="K39" s="84"/>
      <c r="L39" s="108"/>
    </row>
    <row r="40" spans="1:12" x14ac:dyDescent="0.25">
      <c r="A40" s="125" t="str">
        <f>IF($A33&lt;&gt;0,"Lot " &amp; VLOOKUP($A33,Liste!$A$10:$W$59,18,FALSE),"")</f>
        <v>Lot 77</v>
      </c>
      <c r="B40" s="119" t="str">
        <f>IF($A33&lt;&gt;0,VLOOKUP($A33,Liste!$A$10:$W$59,19,FALSE),"")</f>
        <v>Garage</v>
      </c>
      <c r="C40" s="119">
        <f>IF($A33&lt;&gt;0,VLOOKUP($A33,Liste!$A$10:$W$59,20,FALSE),"")</f>
        <v>30</v>
      </c>
      <c r="F40" s="169"/>
      <c r="G40" s="169" t="s">
        <v>161</v>
      </c>
      <c r="H40" s="174" t="s">
        <v>160</v>
      </c>
      <c r="I40" s="167"/>
      <c r="J40" s="167"/>
      <c r="K40" s="167"/>
      <c r="L40" s="176"/>
    </row>
    <row r="41" spans="1:12" ht="13.8" thickBot="1" x14ac:dyDescent="0.3">
      <c r="A41" s="124" t="str">
        <f>IF($A33&lt;&gt;0,"Lot " &amp; VLOOKUP($A33,Liste!$A$10:$W$59,21,FALSE),"")</f>
        <v xml:space="preserve">Lot </v>
      </c>
      <c r="B41" s="123">
        <f>IF($A33&lt;&gt;0,VLOOKUP($A33,Liste!$A$10:$W$59,22,FALSE),"")</f>
        <v>0</v>
      </c>
      <c r="C41" s="123">
        <f>IF($A33&lt;&gt;0,VLOOKUP($A33,Liste!$A$10:$W$59,23,FALSE),"")</f>
        <v>0</v>
      </c>
      <c r="D41" s="122"/>
      <c r="E41" s="122"/>
      <c r="F41" s="122"/>
      <c r="G41" s="226" t="str">
        <f>IF(OR(B34=0,VLOOKUP(A33,Liste!$A$10:'Liste'!$Z$59,26)&lt;&gt;""),"", "Voir autorisation messages électroniques")</f>
        <v>Voir autorisation messages électroniques</v>
      </c>
      <c r="H41" s="226"/>
      <c r="I41" s="226"/>
      <c r="J41" s="122"/>
      <c r="K41" s="122"/>
      <c r="L41" s="128"/>
    </row>
    <row r="42" spans="1:12" ht="17.25" customHeight="1" x14ac:dyDescent="0.25">
      <c r="A42" s="120">
        <f>A33+1</f>
        <v>5</v>
      </c>
      <c r="B42" s="121"/>
      <c r="C42" s="82"/>
      <c r="D42" s="82"/>
      <c r="E42" s="82"/>
      <c r="F42" s="183"/>
      <c r="G42" s="181" t="s">
        <v>162</v>
      </c>
      <c r="H42" s="166"/>
      <c r="I42" s="166"/>
      <c r="J42" s="166"/>
      <c r="K42" s="166"/>
      <c r="L42" s="175"/>
    </row>
    <row r="43" spans="1:12" ht="18" thickBot="1" x14ac:dyDescent="0.35">
      <c r="A43" s="83" t="str">
        <f>IF($A42&lt;&gt;0,VLOOKUP($A42,Liste!$A$10:$W$59,3,FALSE),"")</f>
        <v>Mr  et Mme</v>
      </c>
      <c r="B43" s="185" t="str">
        <f>IF($A42&lt;&gt;0,VLOOKUP($A42,Liste!$A$10:$W$59,4,FALSE),"")</f>
        <v>ASSALADIN Julie</v>
      </c>
      <c r="E43" s="109">
        <f>IF($A42&lt;&gt;0,VLOOKUP($A42,Liste!$A$10:$W$59,8,FALSE),"")</f>
        <v>665</v>
      </c>
      <c r="F43" s="184"/>
      <c r="G43" s="182" t="s">
        <v>158</v>
      </c>
      <c r="H43" s="106"/>
      <c r="I43" s="106"/>
      <c r="J43" s="106"/>
      <c r="K43" s="106"/>
      <c r="L43" s="26"/>
    </row>
    <row r="44" spans="1:12" x14ac:dyDescent="0.25">
      <c r="A44" s="114" t="str">
        <f>IF($A42&lt;&gt;0,VLOOKUP($A42,Liste!$A$10:$W$59,5,FALSE),"")</f>
        <v>17 rue de l' espoir</v>
      </c>
      <c r="F44" s="170"/>
      <c r="G44" s="171" t="s">
        <v>163</v>
      </c>
      <c r="H44" s="171"/>
      <c r="I44" s="171"/>
      <c r="J44" s="171"/>
      <c r="K44" s="171"/>
      <c r="L44" s="127"/>
    </row>
    <row r="45" spans="1:12" x14ac:dyDescent="0.25">
      <c r="A45" s="114">
        <f>IF($A42&lt;&gt;0,VLOOKUP($A42,Liste!$A$10:$W$59,6,FALSE),"")</f>
        <v>75016</v>
      </c>
      <c r="B45" s="107" t="str">
        <f>IF($A42&lt;&gt;0,VLOOKUP($A42,Liste!$A$10:$W$59,7,FALSE),"")</f>
        <v xml:space="preserve">Paris </v>
      </c>
      <c r="F45" s="172"/>
      <c r="G45" s="82"/>
      <c r="H45" s="82"/>
      <c r="I45" s="82"/>
      <c r="J45" s="82"/>
      <c r="K45" s="82"/>
      <c r="L45" s="89"/>
    </row>
    <row r="46" spans="1:12" x14ac:dyDescent="0.25">
      <c r="A46" s="115" t="str">
        <f xml:space="preserve"> IF($A42&lt;&gt;0, "Lot " &amp; VLOOKUP($A42,Liste!$A$10:$W$59,9,FALSE),"")</f>
        <v>Lot 5</v>
      </c>
      <c r="B46" s="111" t="str">
        <f>IF($A42&lt;&gt;0,VLOOKUP($A42,Liste!$A$10:$W$59,10,FALSE),"")</f>
        <v>Appart,</v>
      </c>
      <c r="C46" s="110">
        <f>IF($A42&lt;&gt;0,VLOOKUP($A42,Liste!$A$10:$W$59,11,FALSE),"")</f>
        <v>635</v>
      </c>
      <c r="F46" s="172"/>
      <c r="G46" s="82"/>
      <c r="H46" s="82"/>
      <c r="I46" s="82"/>
      <c r="J46" s="82"/>
      <c r="K46" s="82"/>
      <c r="L46" s="89"/>
    </row>
    <row r="47" spans="1:12" ht="13.8" thickBot="1" x14ac:dyDescent="0.3">
      <c r="A47" s="115" t="str">
        <f>IF($A42&lt;&gt;0,"Lot " &amp; VLOOKUP($A42,Liste!$A$10:$W$59,12,FALSE),"")</f>
        <v>Lot 30</v>
      </c>
      <c r="B47" s="111" t="str">
        <f>IF($A42&lt;&gt;0,VLOOKUP($A42,Liste!$A$10:$W$59,13,FALSE),"")</f>
        <v>Cave</v>
      </c>
      <c r="C47" s="110">
        <f>IF($A42&lt;&gt;0,VLOOKUP($A42,Liste!$A$10:$W$59,14,FALSE),"")</f>
        <v>20</v>
      </c>
      <c r="D47" s="111"/>
      <c r="E47" s="116"/>
      <c r="F47" s="173"/>
      <c r="G47" s="122"/>
      <c r="H47" s="122"/>
      <c r="I47" s="122"/>
      <c r="J47" s="122"/>
      <c r="K47" s="122"/>
      <c r="L47" s="128"/>
    </row>
    <row r="48" spans="1:12" x14ac:dyDescent="0.25">
      <c r="A48" s="125" t="str">
        <f>IF($A42&lt;&gt;0,"Lot " &amp; VLOOKUP($A42,Liste!$A$10:$W$59,15,FALSE),"")</f>
        <v>Lot 55</v>
      </c>
      <c r="B48" s="119" t="str">
        <f>IF($A42&lt;&gt;0,VLOOKUP($A42,Liste!$A$10:$W$59,16,FALSE),"")</f>
        <v>Parking</v>
      </c>
      <c r="C48" s="119">
        <f>IF($A42&lt;&gt;0,VLOOKUP($A42,Liste!$A$10:$W$59,17,FALSE),"")</f>
        <v>10</v>
      </c>
      <c r="D48" s="119"/>
      <c r="E48" s="125"/>
      <c r="F48" s="168"/>
      <c r="G48" s="168" t="s">
        <v>159</v>
      </c>
      <c r="H48" s="174" t="s">
        <v>160</v>
      </c>
      <c r="I48" s="84"/>
      <c r="J48" s="84"/>
      <c r="K48" s="84"/>
      <c r="L48" s="108"/>
    </row>
    <row r="49" spans="1:13" x14ac:dyDescent="0.25">
      <c r="A49" s="125" t="str">
        <f>IF($A42&lt;&gt;0,"Lot " &amp; VLOOKUP($A42,Liste!$A$10:$W$59,18,FALSE),"")</f>
        <v xml:space="preserve">Lot </v>
      </c>
      <c r="B49" s="119">
        <f>IF($A42&lt;&gt;0,VLOOKUP($A42,Liste!$A$10:$W$59,19,FALSE),"")</f>
        <v>0</v>
      </c>
      <c r="C49" s="119">
        <f>IF($A42&lt;&gt;0,VLOOKUP($A42,Liste!$A$10:$W$59,20,FALSE),"")</f>
        <v>0</v>
      </c>
      <c r="F49" s="169"/>
      <c r="G49" s="169" t="s">
        <v>161</v>
      </c>
      <c r="H49" s="174" t="s">
        <v>160</v>
      </c>
      <c r="I49" s="167"/>
      <c r="J49" s="167"/>
      <c r="K49" s="167"/>
      <c r="L49" s="176"/>
    </row>
    <row r="50" spans="1:13" ht="13.8" thickBot="1" x14ac:dyDescent="0.3">
      <c r="A50" s="124" t="str">
        <f>IF($A42&lt;&gt;0,"Lot " &amp; VLOOKUP($A42,Liste!$A$10:$W$59,21,FALSE),"")</f>
        <v xml:space="preserve">Lot </v>
      </c>
      <c r="B50" s="123">
        <f>IF($A42&lt;&gt;0,VLOOKUP($A42,Liste!$A$10:$W$59,22,FALSE),"")</f>
        <v>0</v>
      </c>
      <c r="C50" s="123">
        <f>IF($A42&lt;&gt;0,VLOOKUP($A42,Liste!$A$10:$W$59,23,FALSE),"")</f>
        <v>0</v>
      </c>
      <c r="D50" s="122"/>
      <c r="E50" s="122"/>
      <c r="F50" s="122"/>
      <c r="G50" s="226" t="str">
        <f>IF(OR(B43=0,VLOOKUP(A42,Liste!$A$10:'Liste'!$Z$59,26)&lt;&gt;""),"", "Voir autorisation messages électroniques")</f>
        <v>Voir autorisation messages électroniques</v>
      </c>
      <c r="H50" s="226"/>
      <c r="I50" s="226"/>
      <c r="J50" s="122"/>
      <c r="K50" s="122"/>
      <c r="L50" s="128"/>
    </row>
    <row r="51" spans="1:13" ht="18" customHeight="1" x14ac:dyDescent="0.25">
      <c r="A51" s="120">
        <f>A42+1</f>
        <v>6</v>
      </c>
      <c r="B51" s="121"/>
      <c r="C51" s="82"/>
      <c r="D51" s="82"/>
      <c r="E51" s="82"/>
      <c r="F51" s="183"/>
      <c r="G51" s="181" t="s">
        <v>162</v>
      </c>
      <c r="H51" s="166"/>
      <c r="I51" s="166"/>
      <c r="J51" s="166"/>
      <c r="K51" s="166"/>
      <c r="L51" s="175"/>
    </row>
    <row r="52" spans="1:13" ht="18" thickBot="1" x14ac:dyDescent="0.35">
      <c r="A52" s="83" t="str">
        <f>IF($A51&lt;&gt;0,VLOOKUP($A51,Liste!$A$10:$W$59,3,FALSE),"")</f>
        <v>Mr  et Mme</v>
      </c>
      <c r="B52" s="185" t="str">
        <f>IF($A51&lt;&gt;0,VLOOKUP($A51,Liste!$A$10:$W$59,4,FALSE),"")</f>
        <v>AUBEPINE André</v>
      </c>
      <c r="E52" s="109">
        <f>IF($A51&lt;&gt;0,VLOOKUP($A51,Liste!$A$10:$W$59,8,FALSE),"")</f>
        <v>365</v>
      </c>
      <c r="F52" s="184"/>
      <c r="G52" s="182" t="s">
        <v>158</v>
      </c>
      <c r="H52" s="106"/>
      <c r="I52" s="106"/>
      <c r="J52" s="106"/>
      <c r="K52" s="106"/>
      <c r="L52" s="26"/>
    </row>
    <row r="53" spans="1:13" x14ac:dyDescent="0.25">
      <c r="A53" s="114" t="str">
        <f>IF($A51&lt;&gt;0,VLOOKUP($A51,Liste!$A$10:$W$59,5,FALSE),"")</f>
        <v>13 rue de l' espoir</v>
      </c>
      <c r="F53" s="170"/>
      <c r="G53" s="171" t="s">
        <v>163</v>
      </c>
      <c r="H53" s="171"/>
      <c r="I53" s="171"/>
      <c r="J53" s="171"/>
      <c r="K53" s="171"/>
      <c r="L53" s="127"/>
    </row>
    <row r="54" spans="1:13" x14ac:dyDescent="0.25">
      <c r="A54" s="114">
        <f>IF($A51&lt;&gt;0,VLOOKUP($A51,Liste!$A$10:$W$59,6,FALSE),"")</f>
        <v>75016</v>
      </c>
      <c r="B54" s="107" t="str">
        <f>IF($A51&lt;&gt;0,VLOOKUP($A51,Liste!$A$10:$W$59,7,FALSE),"")</f>
        <v xml:space="preserve">Paris </v>
      </c>
      <c r="F54" s="172"/>
      <c r="G54" s="82"/>
      <c r="H54" s="82"/>
      <c r="I54" s="82"/>
      <c r="J54" s="82"/>
      <c r="K54" s="82"/>
      <c r="L54" s="89"/>
    </row>
    <row r="55" spans="1:13" x14ac:dyDescent="0.25">
      <c r="A55" s="115" t="str">
        <f xml:space="preserve"> IF($A51&lt;&gt;0, "Lot " &amp; VLOOKUP($A51,Liste!$A$10:$W$59,9,FALSE),"")</f>
        <v>Lot 6</v>
      </c>
      <c r="B55" s="111" t="str">
        <f>IF($A51&lt;&gt;0,VLOOKUP($A51,Liste!$A$10:$W$59,10,FALSE),"")</f>
        <v>Appart,</v>
      </c>
      <c r="C55" s="110">
        <f>IF($A51&lt;&gt;0,VLOOKUP($A51,Liste!$A$10:$W$59,11,FALSE),"")</f>
        <v>280</v>
      </c>
      <c r="F55" s="172"/>
      <c r="G55" s="82"/>
      <c r="H55" s="82"/>
      <c r="I55" s="82"/>
      <c r="J55" s="82"/>
      <c r="K55" s="82"/>
      <c r="L55" s="89"/>
    </row>
    <row r="56" spans="1:13" ht="13.8" thickBot="1" x14ac:dyDescent="0.3">
      <c r="A56" s="115" t="str">
        <f>IF($A51&lt;&gt;0,"Lot " &amp; VLOOKUP($A51,Liste!$A$10:$W$59,12,FALSE),"")</f>
        <v>Lot 31</v>
      </c>
      <c r="B56" s="111" t="str">
        <f>IF($A51&lt;&gt;0,VLOOKUP($A51,Liste!$A$10:$W$59,13,FALSE),"")</f>
        <v>Cave</v>
      </c>
      <c r="C56" s="110">
        <f>IF($A51&lt;&gt;0,VLOOKUP($A51,Liste!$A$10:$W$59,14,FALSE),"")</f>
        <v>20</v>
      </c>
      <c r="D56" s="111"/>
      <c r="E56" s="116"/>
      <c r="F56" s="173"/>
      <c r="G56" s="122"/>
      <c r="H56" s="122"/>
      <c r="I56" s="122"/>
      <c r="J56" s="122"/>
      <c r="K56" s="122"/>
      <c r="L56" s="128"/>
    </row>
    <row r="57" spans="1:13" x14ac:dyDescent="0.25">
      <c r="A57" s="125" t="str">
        <f>IF($A51&lt;&gt;0,"Lot " &amp; VLOOKUP($A51,Liste!$A$10:$W$59,15,FALSE),"")</f>
        <v>Lot 56</v>
      </c>
      <c r="B57" s="119" t="str">
        <f>IF($A51&lt;&gt;0,VLOOKUP($A51,Liste!$A$10:$W$59,16,FALSE),"")</f>
        <v>Parking</v>
      </c>
      <c r="C57" s="119">
        <f>IF($A51&lt;&gt;0,VLOOKUP($A51,Liste!$A$10:$W$59,17,FALSE),"")</f>
        <v>10</v>
      </c>
      <c r="D57" s="119"/>
      <c r="E57" s="125"/>
      <c r="F57" s="168"/>
      <c r="G57" s="168" t="s">
        <v>159</v>
      </c>
      <c r="H57" s="174" t="s">
        <v>160</v>
      </c>
      <c r="I57" s="84"/>
      <c r="J57" s="84"/>
      <c r="K57" s="84"/>
      <c r="L57" s="108"/>
    </row>
    <row r="58" spans="1:13" x14ac:dyDescent="0.25">
      <c r="A58" s="125" t="str">
        <f>IF($A51&lt;&gt;0,"Lot " &amp; VLOOKUP($A51,Liste!$A$10:$W$59,18,FALSE),"")</f>
        <v>Lot 78</v>
      </c>
      <c r="B58" s="119" t="str">
        <f>IF($A51&lt;&gt;0,VLOOKUP($A51,Liste!$A$10:$W$59,19,FALSE),"")</f>
        <v>Garage</v>
      </c>
      <c r="C58" s="119">
        <f>IF($A51&lt;&gt;0,VLOOKUP($A51,Liste!$A$10:$W$59,20,FALSE),"")</f>
        <v>30</v>
      </c>
      <c r="F58" s="169"/>
      <c r="G58" s="169" t="s">
        <v>161</v>
      </c>
      <c r="H58" s="174" t="s">
        <v>160</v>
      </c>
      <c r="I58" s="167"/>
      <c r="J58" s="167"/>
      <c r="K58" s="167"/>
      <c r="L58" s="176"/>
    </row>
    <row r="59" spans="1:13" ht="13.8" thickBot="1" x14ac:dyDescent="0.3">
      <c r="A59" s="124" t="str">
        <f>IF($A51&lt;&gt;0,"Lot " &amp; VLOOKUP($A51,Liste!$A$10:$W$59,21,FALSE),"")</f>
        <v>Lot 83</v>
      </c>
      <c r="B59" s="123" t="str">
        <f>IF($A51&lt;&gt;0,VLOOKUP($A51,Liste!$A$10:$W$59,22,FALSE),"")</f>
        <v>Box</v>
      </c>
      <c r="C59" s="123">
        <f>IF($A51&lt;&gt;0,VLOOKUP($A51,Liste!$A$10:$W$59,23,FALSE),"")</f>
        <v>25</v>
      </c>
      <c r="D59" s="122"/>
      <c r="E59" s="122"/>
      <c r="F59" s="122"/>
      <c r="G59" s="226" t="str">
        <f>IF(OR(B52=0,VLOOKUP(A51,Liste!$A$10:'Liste'!$Z$59,26)&lt;&gt;""),"", "Voir autorisation messages électroniques")</f>
        <v>Voir autorisation messages électroniques</v>
      </c>
      <c r="H59" s="226"/>
      <c r="I59" s="226"/>
      <c r="J59" s="122"/>
      <c r="K59" s="122"/>
      <c r="L59" s="128"/>
    </row>
    <row r="60" spans="1:13" x14ac:dyDescent="0.25">
      <c r="L60" s="82"/>
      <c r="M60" s="82"/>
    </row>
    <row r="61" spans="1:13" ht="17.399999999999999" x14ac:dyDescent="0.3">
      <c r="D61" s="112" t="s">
        <v>93</v>
      </c>
      <c r="E61" s="112"/>
      <c r="F61" s="112"/>
      <c r="K61" s="133" t="s">
        <v>98</v>
      </c>
      <c r="L61" s="177">
        <f>L2+1</f>
        <v>2</v>
      </c>
    </row>
    <row r="62" spans="1:13" x14ac:dyDescent="0.25">
      <c r="E62" s="133" t="s">
        <v>114</v>
      </c>
      <c r="F62" s="133"/>
      <c r="G62" s="152">
        <f>IF(A65&gt;0,Liste!$C$1,"")</f>
        <v>44084</v>
      </c>
    </row>
    <row r="63" spans="1:13" x14ac:dyDescent="0.25">
      <c r="D63" t="str">
        <f>IF(A65&gt;0,Liste!$C$3&amp;"; "&amp;Liste!$C$4&amp;" "&amp;Liste!$C$5,"""")</f>
        <v>Résidence Le Paradis; Rue de l' espoir 75016 PARIS</v>
      </c>
      <c r="E63" s="152"/>
      <c r="F63" s="152"/>
      <c r="G63" s="152"/>
    </row>
    <row r="64" spans="1:13" ht="13.8" thickBot="1" x14ac:dyDescent="0.3">
      <c r="A64" s="84"/>
      <c r="B64" s="84"/>
      <c r="C64" s="84"/>
      <c r="D64" s="84"/>
      <c r="E64" s="84"/>
      <c r="F64" s="84"/>
      <c r="G64" s="84"/>
    </row>
    <row r="65" spans="1:12" ht="18.75" customHeight="1" x14ac:dyDescent="0.25">
      <c r="A65" s="120">
        <f>A51+1</f>
        <v>7</v>
      </c>
      <c r="B65" s="121"/>
      <c r="C65" s="82"/>
      <c r="D65" s="82"/>
      <c r="E65" s="82"/>
      <c r="F65" s="183"/>
      <c r="G65" s="181" t="s">
        <v>162</v>
      </c>
      <c r="H65" s="166"/>
      <c r="I65" s="166"/>
      <c r="J65" s="166"/>
      <c r="K65" s="166"/>
      <c r="L65" s="175"/>
    </row>
    <row r="66" spans="1:12" ht="18" thickBot="1" x14ac:dyDescent="0.35">
      <c r="A66" s="83" t="str">
        <f>IF($A65&lt;&gt;0,VLOOKUP($A65,Liste!$A$10:$W$59,3,FALSE),"")</f>
        <v>Mr  et Mme</v>
      </c>
      <c r="B66" s="185" t="str">
        <f>IF($A65&lt;&gt;0,VLOOKUP($A65,Liste!$A$10:$W$59,4,FALSE),"")</f>
        <v>AURIDON Jean-Paul</v>
      </c>
      <c r="E66" s="109">
        <f>IF($A65&lt;&gt;0,VLOOKUP($A65,Liste!$A$10:$W$59,8,FALSE),"")</f>
        <v>280</v>
      </c>
      <c r="F66" s="184"/>
      <c r="G66" s="182" t="s">
        <v>158</v>
      </c>
      <c r="H66" s="106"/>
      <c r="I66" s="106"/>
      <c r="J66" s="106"/>
      <c r="K66" s="106"/>
      <c r="L66" s="26"/>
    </row>
    <row r="67" spans="1:12" x14ac:dyDescent="0.25">
      <c r="A67" s="114" t="str">
        <f>IF($A65&lt;&gt;0,VLOOKUP($A65,Liste!$A$10:$W$59,5,FALSE),"")</f>
        <v>14 rue de l' espoir</v>
      </c>
      <c r="F67" s="170"/>
      <c r="G67" s="171" t="s">
        <v>163</v>
      </c>
      <c r="H67" s="171"/>
      <c r="I67" s="171"/>
      <c r="J67" s="171"/>
      <c r="K67" s="171"/>
      <c r="L67" s="127"/>
    </row>
    <row r="68" spans="1:12" x14ac:dyDescent="0.25">
      <c r="A68" s="114">
        <f>IF($A65&lt;&gt;0,VLOOKUP($A65,Liste!$A$10:$W$59,6,FALSE),"")</f>
        <v>75016</v>
      </c>
      <c r="B68" s="107" t="str">
        <f>IF($A65&lt;&gt;0,VLOOKUP($A65,Liste!$A$10:$W$59,7,FALSE),"")</f>
        <v xml:space="preserve">Paris </v>
      </c>
      <c r="F68" s="172"/>
      <c r="G68" s="82"/>
      <c r="H68" s="82"/>
      <c r="I68" s="82"/>
      <c r="J68" s="82"/>
      <c r="K68" s="82"/>
      <c r="L68" s="89"/>
    </row>
    <row r="69" spans="1:12" x14ac:dyDescent="0.25">
      <c r="A69" s="115" t="str">
        <f xml:space="preserve"> IF($A65&lt;&gt;0, "Lot " &amp; VLOOKUP($A65,Liste!$A$10:$W$59,9,FALSE),"")</f>
        <v>Lot 7</v>
      </c>
      <c r="B69" s="111" t="str">
        <f>IF($A65&lt;&gt;0,VLOOKUP($A65,Liste!$A$10:$W$59,10,FALSE),"")</f>
        <v>Appart,</v>
      </c>
      <c r="C69" s="110">
        <f>IF($A65&lt;&gt;0,VLOOKUP($A65,Liste!$A$10:$W$59,11,FALSE),"")</f>
        <v>250</v>
      </c>
      <c r="F69" s="172"/>
      <c r="G69" s="82"/>
      <c r="H69" s="82"/>
      <c r="I69" s="82"/>
      <c r="J69" s="82"/>
      <c r="K69" s="82"/>
      <c r="L69" s="89"/>
    </row>
    <row r="70" spans="1:12" ht="13.8" thickBot="1" x14ac:dyDescent="0.3">
      <c r="A70" s="115" t="str">
        <f>IF($A65&lt;&gt;0,"Lot " &amp; VLOOKUP($A65,Liste!$A$10:$W$59,12,FALSE),"")</f>
        <v>Lot 32</v>
      </c>
      <c r="B70" s="111" t="str">
        <f>IF($A65&lt;&gt;0,VLOOKUP($A65,Liste!$A$10:$W$59,13,FALSE),"")</f>
        <v>Cave</v>
      </c>
      <c r="C70" s="110">
        <f>IF($A65&lt;&gt;0,VLOOKUP($A65,Liste!$A$10:$W$59,14,FALSE),"")</f>
        <v>20</v>
      </c>
      <c r="D70" s="111"/>
      <c r="E70" s="116"/>
      <c r="F70" s="173"/>
      <c r="G70" s="122"/>
      <c r="H70" s="122"/>
      <c r="I70" s="122"/>
      <c r="J70" s="122"/>
      <c r="K70" s="122"/>
      <c r="L70" s="128"/>
    </row>
    <row r="71" spans="1:12" x14ac:dyDescent="0.25">
      <c r="A71" s="125" t="str">
        <f>IF($A65&lt;&gt;0,"Lot " &amp; VLOOKUP($A65,Liste!$A$10:$W$59,15,FALSE),"")</f>
        <v>Lot 57</v>
      </c>
      <c r="B71" s="119" t="str">
        <f>IF($A65&lt;&gt;0,VLOOKUP($A65,Liste!$A$10:$W$59,16,FALSE),"")</f>
        <v>Parking</v>
      </c>
      <c r="C71" s="119">
        <f>IF($A65&lt;&gt;0,VLOOKUP($A65,Liste!$A$10:$W$59,17,FALSE),"")</f>
        <v>10</v>
      </c>
      <c r="D71" s="119"/>
      <c r="E71" s="125"/>
      <c r="F71" s="168"/>
      <c r="G71" s="168" t="s">
        <v>159</v>
      </c>
      <c r="H71" s="174" t="s">
        <v>160</v>
      </c>
      <c r="I71" s="84"/>
      <c r="J71" s="84"/>
      <c r="K71" s="84"/>
      <c r="L71" s="108"/>
    </row>
    <row r="72" spans="1:12" x14ac:dyDescent="0.25">
      <c r="A72" s="125" t="str">
        <f>IF($A65&lt;&gt;0,"Lot " &amp; VLOOKUP($A65,Liste!$A$10:$W$59,18,FALSE),"")</f>
        <v xml:space="preserve">Lot </v>
      </c>
      <c r="B72" s="119">
        <f>IF($A65&lt;&gt;0,VLOOKUP($A65,Liste!$A$10:$W$59,19,FALSE),"")</f>
        <v>0</v>
      </c>
      <c r="C72" s="119">
        <f>IF($A65&lt;&gt;0,VLOOKUP($A65,Liste!$A$10:$W$59,19,FALSE),"")</f>
        <v>0</v>
      </c>
      <c r="F72" s="169"/>
      <c r="G72" s="169" t="s">
        <v>161</v>
      </c>
      <c r="H72" s="174" t="s">
        <v>160</v>
      </c>
      <c r="I72" s="167"/>
      <c r="J72" s="167"/>
      <c r="K72" s="167"/>
      <c r="L72" s="176"/>
    </row>
    <row r="73" spans="1:12" ht="13.8" thickBot="1" x14ac:dyDescent="0.3">
      <c r="A73" s="124" t="str">
        <f>IF($A65&lt;&gt;0,"Lot " &amp; VLOOKUP($A65,Liste!$A$10:$W$59,21,FALSE),"")</f>
        <v xml:space="preserve">Lot </v>
      </c>
      <c r="B73" s="123">
        <f>IF($A65&lt;&gt;0,VLOOKUP($A65,Liste!$A$10:$W$59,22,FALSE),"")</f>
        <v>0</v>
      </c>
      <c r="C73" s="123">
        <f>IF($A65&lt;&gt;0,VLOOKUP($A65,Liste!$A$10:$W$59,23,FALSE),"")</f>
        <v>0</v>
      </c>
      <c r="D73" s="122"/>
      <c r="E73" s="122"/>
      <c r="F73" s="122"/>
      <c r="G73" s="226" t="str">
        <f>IF(OR(B66=0,VLOOKUP(A65,Liste!$A$10:'Liste'!$Z$59,26)&lt;&gt;""),"", "Voir autorisation messages électroniques")</f>
        <v>Voir autorisation messages électroniques</v>
      </c>
      <c r="H73" s="226"/>
      <c r="I73" s="226"/>
      <c r="J73" s="122"/>
      <c r="K73" s="122"/>
      <c r="L73" s="128"/>
    </row>
    <row r="74" spans="1:12" ht="17.25" customHeight="1" x14ac:dyDescent="0.25">
      <c r="A74" s="120">
        <f>A65+1</f>
        <v>8</v>
      </c>
      <c r="B74" s="121"/>
      <c r="C74" s="82"/>
      <c r="D74" s="82"/>
      <c r="E74" s="82"/>
      <c r="F74" s="183"/>
      <c r="G74" s="181" t="s">
        <v>162</v>
      </c>
      <c r="H74" s="166"/>
      <c r="I74" s="166"/>
      <c r="J74" s="166"/>
      <c r="K74" s="166"/>
      <c r="L74" s="175"/>
    </row>
    <row r="75" spans="1:12" ht="18" thickBot="1" x14ac:dyDescent="0.35">
      <c r="A75" s="83" t="str">
        <f>IF($A74&lt;&gt;0,VLOOKUP($A74,Liste!$A$10:$W$59,3,FALSE),"")</f>
        <v>Mr  et Mme</v>
      </c>
      <c r="B75" s="185" t="str">
        <f>IF($A74&lt;&gt;0,VLOOKUP($A74,Liste!$A$10:$W$59,4,FALSE),"")</f>
        <v>BACHELIER Paul</v>
      </c>
      <c r="E75" s="109">
        <f>IF($A74&lt;&gt;0,VLOOKUP($A74,Liste!$A$10:$W$59,8,FALSE),"")</f>
        <v>355</v>
      </c>
      <c r="F75" s="184"/>
      <c r="G75" s="182" t="s">
        <v>158</v>
      </c>
      <c r="H75" s="106"/>
      <c r="I75" s="106"/>
      <c r="J75" s="106"/>
      <c r="K75" s="106"/>
      <c r="L75" s="26"/>
    </row>
    <row r="76" spans="1:12" x14ac:dyDescent="0.25">
      <c r="A76" s="114" t="str">
        <f>IF($A74&lt;&gt;0,VLOOKUP($A74,Liste!$A$10:$W$59,5,FALSE),"")</f>
        <v>15 rue de l' espoir</v>
      </c>
      <c r="F76" s="170"/>
      <c r="G76" s="171" t="s">
        <v>163</v>
      </c>
      <c r="H76" s="171"/>
      <c r="I76" s="171"/>
      <c r="J76" s="171"/>
      <c r="K76" s="171"/>
      <c r="L76" s="127"/>
    </row>
    <row r="77" spans="1:12" x14ac:dyDescent="0.25">
      <c r="A77" s="114">
        <f>IF($A74&lt;&gt;0,VLOOKUP($A74,Liste!$A$10:$W$59,6,FALSE),"")</f>
        <v>75016</v>
      </c>
      <c r="B77" s="107" t="str">
        <f>IF($A74&lt;&gt;0,VLOOKUP($A74,Liste!$A$10:$W$59,7,FALSE),"")</f>
        <v xml:space="preserve">Paris </v>
      </c>
      <c r="F77" s="172"/>
      <c r="G77" s="82"/>
      <c r="H77" s="82"/>
      <c r="I77" s="82"/>
      <c r="J77" s="82"/>
      <c r="K77" s="82"/>
      <c r="L77" s="89"/>
    </row>
    <row r="78" spans="1:12" x14ac:dyDescent="0.25">
      <c r="A78" s="115" t="str">
        <f xml:space="preserve"> IF($A74&lt;&gt;0, "Lot " &amp; VLOOKUP($A74,Liste!$A$10:$W$59,9,FALSE),"")</f>
        <v>Lot 8</v>
      </c>
      <c r="B78" s="111" t="str">
        <f>IF($A74&lt;&gt;0,VLOOKUP($A74,Liste!$A$10:$W$59,10,FALSE),"")</f>
        <v>Appart,</v>
      </c>
      <c r="C78" s="110">
        <f>IF($A74&lt;&gt;0,VLOOKUP($A74,Liste!$A$10:$W$59,11,FALSE),"")</f>
        <v>325</v>
      </c>
      <c r="F78" s="172"/>
      <c r="G78" s="82"/>
      <c r="H78" s="82"/>
      <c r="I78" s="82"/>
      <c r="J78" s="82"/>
      <c r="K78" s="82"/>
      <c r="L78" s="89"/>
    </row>
    <row r="79" spans="1:12" ht="13.8" thickBot="1" x14ac:dyDescent="0.3">
      <c r="A79" s="115" t="str">
        <f>IF($A74&lt;&gt;0,"Lot " &amp; VLOOKUP($A74,Liste!$A$10:$W$59,12,FALSE),"")</f>
        <v>Lot 33</v>
      </c>
      <c r="B79" s="111" t="str">
        <f>IF($A74&lt;&gt;0,VLOOKUP($A74,Liste!$A$10:$W$59,13,FALSE),"")</f>
        <v>Cave</v>
      </c>
      <c r="C79" s="110">
        <f>IF($A74&lt;&gt;0,VLOOKUP($A74,Liste!$A$10:$W$59,14,FALSE),"")</f>
        <v>20</v>
      </c>
      <c r="D79" s="111"/>
      <c r="E79" s="116"/>
      <c r="F79" s="173"/>
      <c r="G79" s="122"/>
      <c r="H79" s="122"/>
      <c r="I79" s="122"/>
      <c r="J79" s="122"/>
      <c r="K79" s="122"/>
      <c r="L79" s="128"/>
    </row>
    <row r="80" spans="1:12" x14ac:dyDescent="0.25">
      <c r="A80" s="125" t="str">
        <f>IF($A74&lt;&gt;0,"Lot " &amp; VLOOKUP($A74,Liste!$A$10:$W$59,15,FALSE),"")</f>
        <v>Lot 58</v>
      </c>
      <c r="B80" s="119" t="str">
        <f>IF($A74&lt;&gt;0,VLOOKUP($A74,Liste!$A$10:$W$59,16,FALSE),"")</f>
        <v>Parking</v>
      </c>
      <c r="C80" s="119">
        <f>IF($A74&lt;&gt;0,VLOOKUP($A74,Liste!$A$10:$W$59,17,FALSE),"")</f>
        <v>10</v>
      </c>
      <c r="D80" s="119"/>
      <c r="E80" s="125"/>
      <c r="F80" s="168"/>
      <c r="G80" s="168" t="s">
        <v>159</v>
      </c>
      <c r="H80" s="174" t="s">
        <v>160</v>
      </c>
      <c r="I80" s="84"/>
      <c r="J80" s="84"/>
      <c r="K80" s="84"/>
      <c r="L80" s="108"/>
    </row>
    <row r="81" spans="1:12" x14ac:dyDescent="0.25">
      <c r="A81" s="125" t="str">
        <f>IF($A74&lt;&gt;0,"Lot " &amp; VLOOKUP($A74,Liste!$A$10:$W$59,18,FALSE),"")</f>
        <v xml:space="preserve">Lot </v>
      </c>
      <c r="B81" s="119">
        <f>IF($A74&lt;&gt;0,VLOOKUP($A74,Liste!$A$10:$W$59,19,FALSE),"")</f>
        <v>0</v>
      </c>
      <c r="C81" s="119">
        <f>IF($A74&lt;&gt;0,VLOOKUP($A74,Liste!$A$10:$W$59,20,FALSE),"")</f>
        <v>0</v>
      </c>
      <c r="F81" s="169"/>
      <c r="G81" s="169" t="s">
        <v>161</v>
      </c>
      <c r="H81" s="174" t="s">
        <v>160</v>
      </c>
      <c r="I81" s="167"/>
      <c r="J81" s="167"/>
      <c r="K81" s="167"/>
      <c r="L81" s="176"/>
    </row>
    <row r="82" spans="1:12" ht="13.8" thickBot="1" x14ac:dyDescent="0.3">
      <c r="A82" s="124" t="str">
        <f>IF($A74&lt;&gt;0,"Lot " &amp; VLOOKUP($A74,Liste!$A$10:$W$59,21,FALSE),"")</f>
        <v xml:space="preserve">Lot </v>
      </c>
      <c r="B82" s="123">
        <f>IF($A74&lt;&gt;0,VLOOKUP($A74,Liste!$A$10:$W$59,22,FALSE),"")</f>
        <v>0</v>
      </c>
      <c r="C82" s="123">
        <f>IF($A74&lt;&gt;0,VLOOKUP($A74,Liste!$A$10:$W$59,23,FALSE),"")</f>
        <v>0</v>
      </c>
      <c r="D82" s="122"/>
      <c r="E82" s="122"/>
      <c r="F82" s="122"/>
      <c r="G82" s="226" t="str">
        <f>IF(OR(B75=0,VLOOKUP(A74,Liste!$A$10:'Liste'!$Z$59,26)&lt;&gt;""),"", "Voir autorisation messages électroniques")</f>
        <v>Voir autorisation messages électroniques</v>
      </c>
      <c r="H82" s="226"/>
      <c r="I82" s="226"/>
      <c r="J82" s="122"/>
      <c r="K82" s="122"/>
      <c r="L82" s="128"/>
    </row>
    <row r="83" spans="1:12" ht="18" customHeight="1" x14ac:dyDescent="0.25">
      <c r="A83" s="120">
        <f>A74+1</f>
        <v>9</v>
      </c>
      <c r="B83" s="121"/>
      <c r="C83" s="82"/>
      <c r="D83" s="82"/>
      <c r="E83" s="82"/>
      <c r="F83" s="183"/>
      <c r="G83" s="181" t="s">
        <v>162</v>
      </c>
      <c r="H83" s="166"/>
      <c r="I83" s="166"/>
      <c r="J83" s="166"/>
      <c r="K83" s="166"/>
      <c r="L83" s="175"/>
    </row>
    <row r="84" spans="1:12" ht="18" thickBot="1" x14ac:dyDescent="0.35">
      <c r="A84" s="83" t="str">
        <f>IF($A83&lt;&gt;0,VLOOKUP($A83,Liste!$A$10:$W$59,3,FALSE),"")</f>
        <v>Mr  et Mme</v>
      </c>
      <c r="B84" s="185" t="str">
        <f>IF($A83&lt;&gt;0,VLOOKUP($A83,Liste!$A$10:$W$59,4,FALSE),"")</f>
        <v>DUBOIS/BALARDIN Joseph</v>
      </c>
      <c r="E84" s="109">
        <f>IF($A83&lt;&gt;0,VLOOKUP($A83,Liste!$A$10:$W$59,8,FALSE),"")</f>
        <v>380</v>
      </c>
      <c r="F84" s="184"/>
      <c r="G84" s="182" t="s">
        <v>158</v>
      </c>
      <c r="H84" s="106"/>
      <c r="I84" s="106"/>
      <c r="J84" s="106"/>
      <c r="K84" s="106"/>
      <c r="L84" s="26"/>
    </row>
    <row r="85" spans="1:12" x14ac:dyDescent="0.25">
      <c r="A85" s="114" t="str">
        <f>IF($A83&lt;&gt;0,VLOOKUP($A83,Liste!$A$10:$W$59,5,FALSE),"")</f>
        <v>13rue de l' espoir</v>
      </c>
      <c r="F85" s="170"/>
      <c r="G85" s="171" t="s">
        <v>163</v>
      </c>
      <c r="H85" s="171"/>
      <c r="I85" s="171"/>
      <c r="J85" s="171"/>
      <c r="K85" s="171"/>
      <c r="L85" s="127"/>
    </row>
    <row r="86" spans="1:12" x14ac:dyDescent="0.25">
      <c r="A86" s="114">
        <f>IF($A83&lt;&gt;0,VLOOKUP($A83,Liste!$A$10:$W$59,6,FALSE),"")</f>
        <v>75016</v>
      </c>
      <c r="B86" s="107" t="str">
        <f>IF($A83&lt;&gt;0,VLOOKUP($A83,Liste!$A$10:$W$59,7,FALSE),"")</f>
        <v xml:space="preserve">Paris </v>
      </c>
      <c r="F86" s="172"/>
      <c r="G86" s="82"/>
      <c r="H86" s="82"/>
      <c r="I86" s="82"/>
      <c r="J86" s="82"/>
      <c r="K86" s="82"/>
      <c r="L86" s="89"/>
    </row>
    <row r="87" spans="1:12" x14ac:dyDescent="0.25">
      <c r="A87" s="115" t="str">
        <f xml:space="preserve"> IF($A83&lt;&gt;0, "Lot " &amp; VLOOKUP($A83,Liste!$A$10:$W$59,9,FALSE),"")</f>
        <v>Lot 9</v>
      </c>
      <c r="B87" s="111" t="str">
        <f>IF($A83&lt;&gt;0,VLOOKUP($A83,Liste!$A$10:$W$59,10,FALSE),"")</f>
        <v>Appart,</v>
      </c>
      <c r="C87" s="110">
        <f>IF($A83&lt;&gt;0,VLOOKUP($A83,Liste!$A$10:$W$59,11,FALSE),"")</f>
        <v>325</v>
      </c>
      <c r="F87" s="172"/>
      <c r="G87" s="82"/>
      <c r="H87" s="82"/>
      <c r="I87" s="82"/>
      <c r="J87" s="82"/>
      <c r="K87" s="82"/>
      <c r="L87" s="89"/>
    </row>
    <row r="88" spans="1:12" ht="13.8" thickBot="1" x14ac:dyDescent="0.3">
      <c r="A88" s="115" t="str">
        <f>IF($A83&lt;&gt;0,"Lot " &amp; VLOOKUP($A83,Liste!$A$10:$W$59,12,FALSE),"")</f>
        <v>Lot 34</v>
      </c>
      <c r="B88" s="111" t="str">
        <f>IF($A83&lt;&gt;0,VLOOKUP($A83,Liste!$A$10:$W$59,13,FALSE),"")</f>
        <v>Cave</v>
      </c>
      <c r="C88" s="110">
        <f>IF($A83&lt;&gt;0,VLOOKUP($A83,Liste!$A$10:$W$59,14,FALSE),"")</f>
        <v>20</v>
      </c>
      <c r="D88" s="111"/>
      <c r="E88" s="116"/>
      <c r="F88" s="173"/>
      <c r="G88" s="122"/>
      <c r="H88" s="122"/>
      <c r="I88" s="122"/>
      <c r="J88" s="122"/>
      <c r="K88" s="122"/>
      <c r="L88" s="128"/>
    </row>
    <row r="89" spans="1:12" x14ac:dyDescent="0.25">
      <c r="A89" s="125" t="str">
        <f>IF($A83&lt;&gt;0,"Lot " &amp; VLOOKUP($A83,Liste!$A$10:$W$59,15,FALSE),"")</f>
        <v>Lot 59</v>
      </c>
      <c r="B89" s="119" t="str">
        <f>IF($A83&lt;&gt;0,VLOOKUP($A83,Liste!$A$10:$W$59,16,FALSE),"")</f>
        <v>Parking</v>
      </c>
      <c r="C89" s="119">
        <f>IF($A83&lt;&gt;0,VLOOKUP($A83,Liste!$A$10:$W$59,17,FALSE),"")</f>
        <v>10</v>
      </c>
      <c r="D89" s="119"/>
      <c r="E89" s="125"/>
      <c r="F89" s="168"/>
      <c r="G89" s="168" t="s">
        <v>159</v>
      </c>
      <c r="H89" s="174" t="s">
        <v>160</v>
      </c>
      <c r="I89" s="84"/>
      <c r="J89" s="84"/>
      <c r="K89" s="84"/>
      <c r="L89" s="108"/>
    </row>
    <row r="90" spans="1:12" x14ac:dyDescent="0.25">
      <c r="A90" s="125" t="str">
        <f>IF($A83&lt;&gt;0,"Lot " &amp; VLOOKUP($A83,Liste!$A$10:$W$59,18,FALSE),"")</f>
        <v xml:space="preserve">Lot </v>
      </c>
      <c r="B90" s="119">
        <f>IF($A83&lt;&gt;0,VLOOKUP($A83,Liste!$A$10:$W$59,19,FALSE),"")</f>
        <v>0</v>
      </c>
      <c r="C90" s="119">
        <f>IF($A83&lt;&gt;0,VLOOKUP($A83,Liste!$A$10:$W$59,20,FALSE),"")</f>
        <v>0</v>
      </c>
      <c r="F90" s="169"/>
      <c r="G90" s="169" t="s">
        <v>161</v>
      </c>
      <c r="H90" s="174" t="s">
        <v>160</v>
      </c>
      <c r="I90" s="167"/>
      <c r="J90" s="167"/>
      <c r="K90" s="167"/>
      <c r="L90" s="176"/>
    </row>
    <row r="91" spans="1:12" ht="13.8" thickBot="1" x14ac:dyDescent="0.3">
      <c r="A91" s="124" t="str">
        <f>IF($A83&lt;&gt;0,"Lot " &amp; VLOOKUP($A83,Liste!$A$10:$W$59,21,FALSE),"")</f>
        <v>Lot 84</v>
      </c>
      <c r="B91" s="123" t="str">
        <f>IF($A83&lt;&gt;0,VLOOKUP($A83,Liste!$A$10:$W$59,22,FALSE),"")</f>
        <v>Box</v>
      </c>
      <c r="C91" s="123">
        <f>IF($A83&lt;&gt;0,VLOOKUP($A83,Liste!$A$10:$W$59,23,FALSE),"")</f>
        <v>25</v>
      </c>
      <c r="D91" s="122"/>
      <c r="E91" s="122"/>
      <c r="F91" s="122"/>
      <c r="G91" s="226" t="str">
        <f>IF(OR(B84=0,VLOOKUP(A83,Liste!$A$10:'Liste'!$Z$59,26)&lt;&gt;""),"", "Voir autorisation messages électroniques")</f>
        <v>Voir autorisation messages électroniques</v>
      </c>
      <c r="H91" s="226"/>
      <c r="I91" s="226"/>
      <c r="J91" s="122"/>
      <c r="K91" s="122"/>
      <c r="L91" s="128"/>
    </row>
    <row r="92" spans="1:12" ht="17.25" customHeight="1" x14ac:dyDescent="0.25">
      <c r="A92" s="120">
        <f>A83+1</f>
        <v>10</v>
      </c>
      <c r="B92" s="121"/>
      <c r="C92" s="82"/>
      <c r="D92" s="82"/>
      <c r="E92" s="82"/>
      <c r="F92" s="183"/>
      <c r="G92" s="181" t="s">
        <v>162</v>
      </c>
      <c r="H92" s="166"/>
      <c r="I92" s="166"/>
      <c r="J92" s="166"/>
      <c r="K92" s="166"/>
      <c r="L92" s="175"/>
    </row>
    <row r="93" spans="1:12" ht="18" thickBot="1" x14ac:dyDescent="0.35">
      <c r="A93" s="83" t="str">
        <f>IF($A92&lt;&gt;0,VLOOKUP($A92,Liste!$A$10:$W$59,3,FALSE),"")</f>
        <v>Mr  et Mme</v>
      </c>
      <c r="B93" s="185" t="str">
        <f>IF($A92&lt;&gt;0,VLOOKUP($A92,Liste!$A$10:$W$59,4,FALSE),"")</f>
        <v>BALDARINI Marc</v>
      </c>
      <c r="E93" s="109">
        <f>IF($A92&lt;&gt;0,VLOOKUP($A92,Liste!$A$10:$W$59,8,FALSE),"")</f>
        <v>385</v>
      </c>
      <c r="F93" s="184"/>
      <c r="G93" s="182" t="s">
        <v>158</v>
      </c>
      <c r="H93" s="106"/>
      <c r="I93" s="106"/>
      <c r="J93" s="106"/>
      <c r="K93" s="106"/>
      <c r="L93" s="26"/>
    </row>
    <row r="94" spans="1:12" x14ac:dyDescent="0.25">
      <c r="A94" s="114" t="str">
        <f>IF($A92&lt;&gt;0,VLOOKUP($A92,Liste!$A$10:$W$59,5,FALSE),"")</f>
        <v>13 rue de l' espoir</v>
      </c>
      <c r="F94" s="170"/>
      <c r="G94" s="171" t="s">
        <v>163</v>
      </c>
      <c r="H94" s="171"/>
      <c r="I94" s="171"/>
      <c r="J94" s="171"/>
      <c r="K94" s="171"/>
      <c r="L94" s="127"/>
    </row>
    <row r="95" spans="1:12" x14ac:dyDescent="0.25">
      <c r="A95" s="114">
        <f>IF($A92&lt;&gt;0,VLOOKUP($A92,Liste!$A$10:$W$59,6,FALSE),"")</f>
        <v>75016</v>
      </c>
      <c r="B95" s="107" t="str">
        <f>IF($A92&lt;&gt;0,VLOOKUP($A92,Liste!$A$10:$W$59,7,FALSE),"")</f>
        <v xml:space="preserve">Paris </v>
      </c>
      <c r="F95" s="172"/>
      <c r="G95" s="82"/>
      <c r="H95" s="82"/>
      <c r="I95" s="82"/>
      <c r="J95" s="82"/>
      <c r="K95" s="82"/>
      <c r="L95" s="89"/>
    </row>
    <row r="96" spans="1:12" x14ac:dyDescent="0.25">
      <c r="A96" s="115" t="str">
        <f xml:space="preserve"> IF($A92&lt;&gt;0, "Lot " &amp; VLOOKUP($A92,Liste!$A$10:$W$59,9,FALSE),"")</f>
        <v>Lot 10</v>
      </c>
      <c r="B96" s="111" t="str">
        <f>IF($A92&lt;&gt;0,VLOOKUP($A92,Liste!$A$10:$W$59,10,FALSE),"")</f>
        <v>Appart,</v>
      </c>
      <c r="C96" s="110">
        <f>IF($A92&lt;&gt;0,VLOOKUP($A92,Liste!$A$10:$W$59,11,FALSE),"")</f>
        <v>325</v>
      </c>
      <c r="F96" s="172"/>
      <c r="G96" s="82"/>
      <c r="H96" s="82"/>
      <c r="I96" s="82"/>
      <c r="J96" s="82"/>
      <c r="K96" s="82"/>
      <c r="L96" s="89"/>
    </row>
    <row r="97" spans="1:12" ht="13.8" thickBot="1" x14ac:dyDescent="0.3">
      <c r="A97" s="115" t="str">
        <f>IF($A92&lt;&gt;0,"Lot " &amp; VLOOKUP($A92,Liste!$A$10:$W$59,12,FALSE),"")</f>
        <v>Lot 35</v>
      </c>
      <c r="B97" s="111" t="str">
        <f>IF($A92&lt;&gt;0,VLOOKUP($A92,Liste!$A$10:$W$59,13,FALSE),"")</f>
        <v>Cave</v>
      </c>
      <c r="C97" s="110">
        <f>IF($A92&lt;&gt;0,VLOOKUP($A92,Liste!$A$10:$W$59,14,FALSE),"")</f>
        <v>20</v>
      </c>
      <c r="D97" s="111"/>
      <c r="E97" s="116"/>
      <c r="F97" s="173"/>
      <c r="G97" s="122"/>
      <c r="H97" s="122"/>
      <c r="I97" s="122"/>
      <c r="J97" s="122"/>
      <c r="K97" s="122"/>
      <c r="L97" s="128"/>
    </row>
    <row r="98" spans="1:12" x14ac:dyDescent="0.25">
      <c r="A98" s="125" t="str">
        <f>IF($A92&lt;&gt;0,"Lot " &amp; VLOOKUP($A92,Liste!$A$10:$W$59,15,FALSE),"")</f>
        <v>Lot 60</v>
      </c>
      <c r="B98" s="119" t="str">
        <f>IF($A92&lt;&gt;0,VLOOKUP($A92,Liste!$A$10:$W$59,16,FALSE),"")</f>
        <v>Parking</v>
      </c>
      <c r="C98" s="119">
        <f>IF($A92&lt;&gt;0,VLOOKUP($A92,Liste!$A$10:$W$59,17,FALSE),"")</f>
        <v>10</v>
      </c>
      <c r="D98" s="119"/>
      <c r="E98" s="125"/>
      <c r="F98" s="168"/>
      <c r="G98" s="168" t="s">
        <v>159</v>
      </c>
      <c r="H98" s="174" t="s">
        <v>160</v>
      </c>
      <c r="I98" s="84"/>
      <c r="J98" s="84"/>
      <c r="K98" s="84"/>
      <c r="L98" s="108"/>
    </row>
    <row r="99" spans="1:12" x14ac:dyDescent="0.25">
      <c r="A99" s="125" t="str">
        <f>IF($A92&lt;&gt;0,"Lot " &amp; VLOOKUP($A92,Liste!$A$10:$W$59,18,FALSE),"")</f>
        <v>Lot 80</v>
      </c>
      <c r="B99" s="119" t="str">
        <f>IF($A92&lt;&gt;0,VLOOKUP($A92,Liste!$A$10:$W$59,19,FALSE),"")</f>
        <v>Garage</v>
      </c>
      <c r="C99" s="119">
        <f>IF($A92&lt;&gt;0,VLOOKUP($A92,Liste!$A$10:$W$59,20,FALSE),"")</f>
        <v>30</v>
      </c>
      <c r="F99" s="169"/>
      <c r="G99" s="169" t="s">
        <v>161</v>
      </c>
      <c r="H99" s="174" t="s">
        <v>160</v>
      </c>
      <c r="I99" s="167"/>
      <c r="J99" s="167"/>
      <c r="K99" s="167"/>
      <c r="L99" s="176"/>
    </row>
    <row r="100" spans="1:12" ht="13.8" thickBot="1" x14ac:dyDescent="0.3">
      <c r="A100" s="124" t="str">
        <f>IF($A92&lt;&gt;0,"Lot " &amp; VLOOKUP($A92,Liste!$A$10:$W$59,21,FALSE),"")</f>
        <v xml:space="preserve">Lot </v>
      </c>
      <c r="B100" s="123">
        <f>IF($A92&lt;&gt;0,VLOOKUP($A92,Liste!$A$10:$W$59,22,FALSE),"")</f>
        <v>0</v>
      </c>
      <c r="C100" s="123">
        <f>IF($A92&lt;&gt;0,VLOOKUP($A92,Liste!$A$10:$W$59,23,FALSE),"")</f>
        <v>0</v>
      </c>
      <c r="D100" s="122"/>
      <c r="E100" s="122"/>
      <c r="F100" s="122"/>
      <c r="G100" s="226" t="str">
        <f>IF(OR(B93=0,VLOOKUP(A92,Liste!$A$10:'Liste'!$Z$59,26)&lt;&gt;""),"", "Voir autorisation messages électroniques")</f>
        <v>Voir autorisation messages électroniques</v>
      </c>
      <c r="H100" s="226"/>
      <c r="I100" s="226"/>
      <c r="J100" s="122"/>
      <c r="K100" s="122"/>
      <c r="L100" s="128"/>
    </row>
    <row r="101" spans="1:12" ht="15" customHeight="1" x14ac:dyDescent="0.25">
      <c r="A101" s="120">
        <f>A92+1</f>
        <v>11</v>
      </c>
      <c r="B101" s="121"/>
      <c r="C101" s="82"/>
      <c r="D101" s="82"/>
      <c r="E101" s="82"/>
      <c r="F101" s="183"/>
      <c r="G101" s="181" t="s">
        <v>162</v>
      </c>
      <c r="H101" s="166"/>
      <c r="I101" s="166"/>
      <c r="J101" s="166"/>
      <c r="K101" s="166"/>
      <c r="L101" s="175"/>
    </row>
    <row r="102" spans="1:12" ht="18" thickBot="1" x14ac:dyDescent="0.35">
      <c r="A102" s="83" t="str">
        <f>IF($A101&lt;&gt;0,VLOOKUP($A101,Liste!$A$10:$W$59,3,FALSE),"")</f>
        <v>Monsieur</v>
      </c>
      <c r="B102" s="185" t="str">
        <f>IF($A101&lt;&gt;0,VLOOKUP($A101,Liste!$A$10:$W$59,4,FALSE),"")</f>
        <v>BARATIN Isaac</v>
      </c>
      <c r="E102" s="109">
        <f>IF($A101&lt;&gt;0,VLOOKUP($A101,Liste!$A$10:$W$59,8,FALSE),"")</f>
        <v>355</v>
      </c>
      <c r="F102" s="184"/>
      <c r="G102" s="182" t="s">
        <v>158</v>
      </c>
      <c r="H102" s="106"/>
      <c r="I102" s="106"/>
      <c r="J102" s="106"/>
      <c r="K102" s="106"/>
      <c r="L102" s="26"/>
    </row>
    <row r="103" spans="1:12" x14ac:dyDescent="0.25">
      <c r="A103" s="114" t="str">
        <f>IF($A101&lt;&gt;0,VLOOKUP($A101,Liste!$A$10:$W$59,5,FALSE),"")</f>
        <v>14 rue de l' espoir</v>
      </c>
      <c r="F103" s="170"/>
      <c r="G103" s="171" t="s">
        <v>163</v>
      </c>
      <c r="H103" s="171"/>
      <c r="I103" s="171"/>
      <c r="J103" s="171"/>
      <c r="K103" s="171"/>
      <c r="L103" s="127"/>
    </row>
    <row r="104" spans="1:12" x14ac:dyDescent="0.25">
      <c r="A104" s="114">
        <f>IF($A101&lt;&gt;0,VLOOKUP($A101,Liste!$A$10:$W$59,6,FALSE),"")</f>
        <v>75016</v>
      </c>
      <c r="B104" s="107" t="str">
        <f>IF($A101&lt;&gt;0,VLOOKUP($A101,Liste!$A$10:$W$59,7,FALSE),"")</f>
        <v xml:space="preserve">Paris </v>
      </c>
      <c r="F104" s="172"/>
      <c r="G104" s="82"/>
      <c r="H104" s="82"/>
      <c r="I104" s="82"/>
      <c r="J104" s="82"/>
      <c r="K104" s="82"/>
      <c r="L104" s="89"/>
    </row>
    <row r="105" spans="1:12" x14ac:dyDescent="0.25">
      <c r="A105" s="115" t="str">
        <f xml:space="preserve"> IF($A101&lt;&gt;0, "Lot " &amp; VLOOKUP($A101,Liste!$A$10:$W$59,9,FALSE),"")</f>
        <v>Lot 11</v>
      </c>
      <c r="B105" s="111" t="str">
        <f>IF($A101&lt;&gt;0,VLOOKUP($A101,Liste!$A$10:$W$59,10,FALSE),"")</f>
        <v>Appart,</v>
      </c>
      <c r="C105" s="110">
        <f>IF($A101&lt;&gt;0,VLOOKUP($A101,Liste!$A$10:$W$59,11,FALSE),"")</f>
        <v>325</v>
      </c>
      <c r="F105" s="172"/>
      <c r="G105" s="82"/>
      <c r="H105" s="82"/>
      <c r="I105" s="82"/>
      <c r="J105" s="82"/>
      <c r="K105" s="82"/>
      <c r="L105" s="89"/>
    </row>
    <row r="106" spans="1:12" ht="13.8" thickBot="1" x14ac:dyDescent="0.3">
      <c r="A106" s="115" t="str">
        <f>IF($A101&lt;&gt;0,"Lot " &amp; VLOOKUP($A101,Liste!$A$10:$W$59,12,FALSE),"")</f>
        <v>Lot 36</v>
      </c>
      <c r="B106" s="111" t="str">
        <f>IF($A101&lt;&gt;0,VLOOKUP($A101,Liste!$A$10:$W$59,13,FALSE),"")</f>
        <v>Cave</v>
      </c>
      <c r="C106" s="110">
        <f>IF($A101&lt;&gt;0,VLOOKUP($A101,Liste!$A$10:$W$59,14,FALSE),"")</f>
        <v>20</v>
      </c>
      <c r="D106" s="111"/>
      <c r="E106" s="116"/>
      <c r="F106" s="173"/>
      <c r="G106" s="122"/>
      <c r="H106" s="122"/>
      <c r="I106" s="122"/>
      <c r="J106" s="122"/>
      <c r="K106" s="122"/>
      <c r="L106" s="128"/>
    </row>
    <row r="107" spans="1:12" x14ac:dyDescent="0.25">
      <c r="A107" s="125" t="str">
        <f>IF($A101&lt;&gt;0,"Lot " &amp; VLOOKUP($A101,Liste!$A$10:$W$59,15,FALSE),"")</f>
        <v>Lot 61</v>
      </c>
      <c r="B107" s="119" t="str">
        <f>IF($A101&lt;&gt;0,VLOOKUP($A101,Liste!$A$10:$W$59,16,FALSE),"")</f>
        <v>Parking</v>
      </c>
      <c r="C107" s="119">
        <f>IF($A101&lt;&gt;0,VLOOKUP($A101,Liste!$A$10:$W$59,17,FALSE),"")</f>
        <v>10</v>
      </c>
      <c r="D107" s="119"/>
      <c r="E107" s="125"/>
      <c r="F107" s="168"/>
      <c r="G107" s="168" t="s">
        <v>159</v>
      </c>
      <c r="H107" s="174" t="s">
        <v>160</v>
      </c>
      <c r="I107" s="84"/>
      <c r="J107" s="84"/>
      <c r="K107" s="84"/>
      <c r="L107" s="108"/>
    </row>
    <row r="108" spans="1:12" x14ac:dyDescent="0.25">
      <c r="A108" s="125" t="str">
        <f>IF($A101&lt;&gt;0,"Lot " &amp; VLOOKUP($A101,Liste!$A$10:$W$59,18,FALSE),"")</f>
        <v xml:space="preserve">Lot </v>
      </c>
      <c r="B108" s="119">
        <f>IF($A101&lt;&gt;0,VLOOKUP($A101,Liste!$A$10:$W$59,19,FALSE),"")</f>
        <v>0</v>
      </c>
      <c r="C108" s="119">
        <f>IF($A101&lt;&gt;0,VLOOKUP($A101,Liste!$A$10:$W$59,20,FALSE),"")</f>
        <v>0</v>
      </c>
      <c r="F108" s="169"/>
      <c r="G108" s="169" t="s">
        <v>161</v>
      </c>
      <c r="H108" s="174" t="s">
        <v>160</v>
      </c>
      <c r="I108" s="167"/>
      <c r="J108" s="167"/>
      <c r="K108" s="167"/>
      <c r="L108" s="176"/>
    </row>
    <row r="109" spans="1:12" ht="13.8" thickBot="1" x14ac:dyDescent="0.3">
      <c r="A109" s="124" t="str">
        <f>IF($A101&lt;&gt;0,"Lot " &amp; VLOOKUP($A101,Liste!$A$10:$W$59,21,FALSE),"")</f>
        <v xml:space="preserve">Lot </v>
      </c>
      <c r="B109" s="123">
        <f>IF($A101&lt;&gt;0,VLOOKUP($A101,Liste!$A$10:$W$59,22,FALSE),"")</f>
        <v>0</v>
      </c>
      <c r="C109" s="123">
        <f>IF($A101&lt;&gt;0,VLOOKUP($A101,Liste!$A$10:$W$59,23,FALSE),"")</f>
        <v>0</v>
      </c>
      <c r="D109" s="122"/>
      <c r="E109" s="122"/>
      <c r="F109" s="122"/>
      <c r="G109" s="226" t="str">
        <f>IF(OR(B102=0,VLOOKUP(A101,Liste!$A$10:'Liste'!$Z$59,26)&lt;&gt;""),"", "Voir autorisation messages électroniques")</f>
        <v/>
      </c>
      <c r="H109" s="226"/>
      <c r="I109" s="226"/>
      <c r="J109" s="122"/>
      <c r="K109" s="122"/>
      <c r="L109" s="128"/>
    </row>
    <row r="110" spans="1:12" ht="18" customHeight="1" x14ac:dyDescent="0.25">
      <c r="A110" s="120">
        <f>A101+1</f>
        <v>12</v>
      </c>
      <c r="B110" s="121"/>
      <c r="C110" s="82"/>
      <c r="D110" s="82"/>
      <c r="E110" s="82"/>
      <c r="F110" s="183"/>
      <c r="G110" s="181" t="s">
        <v>162</v>
      </c>
      <c r="H110" s="166"/>
      <c r="I110" s="166"/>
      <c r="J110" s="166"/>
      <c r="K110" s="166"/>
      <c r="L110" s="175"/>
    </row>
    <row r="111" spans="1:12" ht="18" thickBot="1" x14ac:dyDescent="0.35">
      <c r="A111" s="83" t="str">
        <f>IF($A110&lt;&gt;0,VLOOKUP($A110,Liste!$A$10:$W$59,3,FALSE),"")</f>
        <v>Monsieur</v>
      </c>
      <c r="B111" s="185" t="str">
        <f>IF($A110&lt;&gt;0,VLOOKUP($A110,Liste!$A$10:$W$59,4,FALSE),"")</f>
        <v>BARDON Pierre</v>
      </c>
      <c r="E111" s="109">
        <f>IF($A110&lt;&gt;0,VLOOKUP($A110,Liste!$A$10:$W$59,8,FALSE),"")</f>
        <v>480</v>
      </c>
      <c r="F111" s="184"/>
      <c r="G111" s="182" t="s">
        <v>158</v>
      </c>
      <c r="H111" s="106"/>
      <c r="I111" s="106"/>
      <c r="J111" s="106"/>
      <c r="K111" s="106"/>
      <c r="L111" s="26"/>
    </row>
    <row r="112" spans="1:12" x14ac:dyDescent="0.25">
      <c r="A112" s="114" t="str">
        <f>IF($A110&lt;&gt;0,VLOOKUP($A110,Liste!$A$10:$W$59,5,FALSE),"")</f>
        <v>15 rue de l' espoir</v>
      </c>
      <c r="F112" s="170"/>
      <c r="G112" s="171" t="s">
        <v>163</v>
      </c>
      <c r="H112" s="171"/>
      <c r="I112" s="171"/>
      <c r="J112" s="171"/>
      <c r="K112" s="171"/>
      <c r="L112" s="127"/>
    </row>
    <row r="113" spans="1:12" x14ac:dyDescent="0.25">
      <c r="A113" s="114">
        <f>IF($A110&lt;&gt;0,VLOOKUP($A110,Liste!$A$10:$W$59,6,FALSE),"")</f>
        <v>75016</v>
      </c>
      <c r="B113" s="107" t="str">
        <f>IF($A110&lt;&gt;0,VLOOKUP($A110,Liste!$A$10:$W$59,7,FALSE),"")</f>
        <v xml:space="preserve">Paris </v>
      </c>
      <c r="F113" s="172"/>
      <c r="G113" s="82"/>
      <c r="H113" s="82"/>
      <c r="I113" s="82"/>
      <c r="J113" s="82"/>
      <c r="K113" s="82"/>
      <c r="L113" s="89"/>
    </row>
    <row r="114" spans="1:12" x14ac:dyDescent="0.25">
      <c r="A114" s="115" t="str">
        <f xml:space="preserve"> IF($A110&lt;&gt;0, "Lot " &amp; VLOOKUP($A110,Liste!$A$10:$W$59,9,FALSE),"")</f>
        <v>Lot 19</v>
      </c>
      <c r="B114" s="111" t="str">
        <f>IF($A110&lt;&gt;0,VLOOKUP($A110,Liste!$A$10:$W$59,10,FALSE),"")</f>
        <v>Appart,</v>
      </c>
      <c r="C114" s="110">
        <f>IF($A110&lt;&gt;0,VLOOKUP($A110,Liste!$A$10:$W$59,11,FALSE),"")</f>
        <v>425</v>
      </c>
      <c r="F114" s="172"/>
      <c r="G114" s="82"/>
      <c r="H114" s="82"/>
      <c r="I114" s="82"/>
      <c r="J114" s="82"/>
      <c r="K114" s="82"/>
      <c r="L114" s="89"/>
    </row>
    <row r="115" spans="1:12" ht="13.8" thickBot="1" x14ac:dyDescent="0.3">
      <c r="A115" s="115" t="str">
        <f>IF($A110&lt;&gt;0,"Lot " &amp; VLOOKUP($A110,Liste!$A$10:$W$59,12,FALSE),"")</f>
        <v>Lot 44</v>
      </c>
      <c r="B115" s="111" t="str">
        <f>IF($A110&lt;&gt;0,VLOOKUP($A110,Liste!$A$10:$W$59,13,FALSE),"")</f>
        <v>Cave</v>
      </c>
      <c r="C115" s="110">
        <f>IF($A110&lt;&gt;0,VLOOKUP($A110,Liste!$A$10:$W$59,14,FALSE),"")</f>
        <v>20</v>
      </c>
      <c r="D115" s="111"/>
      <c r="E115" s="116"/>
      <c r="F115" s="173"/>
      <c r="G115" s="122"/>
      <c r="H115" s="122"/>
      <c r="I115" s="122"/>
      <c r="J115" s="122"/>
      <c r="K115" s="122"/>
      <c r="L115" s="128"/>
    </row>
    <row r="116" spans="1:12" x14ac:dyDescent="0.25">
      <c r="A116" s="125" t="str">
        <f>IF($A110&lt;&gt;0,"Lot " &amp; VLOOKUP($A110,Liste!$A$10:$W$59,15,FALSE),"")</f>
        <v>Lot 69</v>
      </c>
      <c r="B116" s="119" t="str">
        <f>IF($A110&lt;&gt;0,VLOOKUP($A110,Liste!$A$10:$W$59,16,FALSE),"")</f>
        <v>Parking</v>
      </c>
      <c r="C116" s="119">
        <f>IF($A110&lt;&gt;0,VLOOKUP($A110,Liste!$A$10:$W$59,17,FALSE),"")</f>
        <v>10</v>
      </c>
      <c r="D116" s="119"/>
      <c r="E116" s="125"/>
      <c r="F116" s="168"/>
      <c r="G116" s="168" t="s">
        <v>159</v>
      </c>
      <c r="H116" s="174" t="s">
        <v>160</v>
      </c>
      <c r="I116" s="84"/>
      <c r="J116" s="84"/>
      <c r="K116" s="84"/>
      <c r="L116" s="108"/>
    </row>
    <row r="117" spans="1:12" x14ac:dyDescent="0.25">
      <c r="A117" s="125" t="str">
        <f>IF($A110&lt;&gt;0,"Lot " &amp; VLOOKUP($A110,Liste!$A$10:$W$59,18,FALSE),"")</f>
        <v xml:space="preserve">Lot </v>
      </c>
      <c r="B117" s="119">
        <f>IF($A110&lt;&gt;0,VLOOKUP($A110,Liste!$A$10:$W$59,19,FALSE),"")</f>
        <v>0</v>
      </c>
      <c r="C117" s="119">
        <f>IF($A110&lt;&gt;0,VLOOKUP($A110,Liste!$A$10:$W$59,20,FALSE),"")</f>
        <v>0</v>
      </c>
      <c r="F117" s="169"/>
      <c r="G117" s="169" t="s">
        <v>161</v>
      </c>
      <c r="H117" s="174" t="s">
        <v>160</v>
      </c>
      <c r="I117" s="167"/>
      <c r="J117" s="167"/>
      <c r="K117" s="167"/>
      <c r="L117" s="176"/>
    </row>
    <row r="118" spans="1:12" ht="18" customHeight="1" thickBot="1" x14ac:dyDescent="0.3">
      <c r="A118" s="124" t="str">
        <f>IF($A110&lt;&gt;0,"Lot " &amp; VLOOKUP($A110,Liste!$A$10:$W$59,21,FALSE),"")</f>
        <v>Lot 86</v>
      </c>
      <c r="B118" s="123" t="str">
        <f>IF($A110&lt;&gt;0,VLOOKUP($A110,Liste!$A$10:$W$59,22,FALSE),"")</f>
        <v>Box</v>
      </c>
      <c r="C118" s="123">
        <f>IF($A110&lt;&gt;0,VLOOKUP($A110,Liste!$A$10:$W$59,23,FALSE),"")</f>
        <v>25</v>
      </c>
      <c r="D118" s="122"/>
      <c r="E118" s="122"/>
      <c r="F118" s="122"/>
      <c r="G118" s="226" t="str">
        <f>IF(OR(B111=0,VLOOKUP(A110,Liste!$A$10:'Liste'!$Z$59,26)&lt;&gt;""),"", "Voir autorisation messages électroniques")</f>
        <v>Voir autorisation messages électroniques</v>
      </c>
      <c r="H118" s="226"/>
      <c r="I118" s="226"/>
      <c r="J118" s="122"/>
      <c r="K118" s="122"/>
      <c r="L118" s="128"/>
    </row>
    <row r="119" spans="1:12" x14ac:dyDescent="0.25">
      <c r="L119" s="82"/>
    </row>
    <row r="120" spans="1:12" ht="17.399999999999999" x14ac:dyDescent="0.3">
      <c r="D120" s="112" t="s">
        <v>93</v>
      </c>
      <c r="E120" s="112"/>
      <c r="F120" s="112"/>
      <c r="K120" s="133" t="s">
        <v>98</v>
      </c>
      <c r="L120" s="177">
        <f>L61+1</f>
        <v>3</v>
      </c>
    </row>
    <row r="121" spans="1:12" x14ac:dyDescent="0.25">
      <c r="E121" s="133" t="s">
        <v>114</v>
      </c>
      <c r="F121" s="133"/>
      <c r="G121" s="152">
        <f>IF(A124&gt;0,Liste!$C$1,"")</f>
        <v>44084</v>
      </c>
    </row>
    <row r="122" spans="1:12" x14ac:dyDescent="0.25">
      <c r="D122" t="str">
        <f>IF(A124&gt;0,Liste!$C$3&amp;"; "&amp;Liste!$C$4&amp;" "&amp;Liste!$C$5,"""")</f>
        <v>Résidence Le Paradis; Rue de l' espoir 75016 PARIS</v>
      </c>
      <c r="E122" s="152"/>
      <c r="F122" s="152"/>
      <c r="G122" s="152"/>
    </row>
    <row r="123" spans="1:12" ht="13.8" thickBot="1" x14ac:dyDescent="0.3">
      <c r="A123" s="84"/>
      <c r="B123" s="84"/>
      <c r="C123" s="84"/>
      <c r="D123" s="84"/>
      <c r="E123" s="84"/>
      <c r="F123" s="84"/>
      <c r="G123" s="84"/>
    </row>
    <row r="124" spans="1:12" ht="20.25" customHeight="1" x14ac:dyDescent="0.25">
      <c r="A124" s="120">
        <f>A110+1</f>
        <v>13</v>
      </c>
      <c r="B124" s="121"/>
      <c r="C124" s="82"/>
      <c r="D124" s="82"/>
      <c r="E124" s="82"/>
      <c r="F124" s="183"/>
      <c r="G124" s="181" t="s">
        <v>162</v>
      </c>
      <c r="H124" s="166"/>
      <c r="I124" s="166"/>
      <c r="J124" s="166"/>
      <c r="K124" s="166"/>
      <c r="L124" s="175"/>
    </row>
    <row r="125" spans="1:12" ht="21.6" thickBot="1" x14ac:dyDescent="0.45">
      <c r="A125" s="83" t="str">
        <f>IF($A124&lt;&gt;0,VLOOKUP($A124,Liste!$A$10:$W$59,3,FALSE),"")</f>
        <v>Monsieur</v>
      </c>
      <c r="B125" s="186" t="str">
        <f>IF($A124&lt;&gt;0,VLOOKUP($A124,Liste!$A$10:$W$59,4,FALSE),"")</f>
        <v>BARMAN Marcel</v>
      </c>
      <c r="E125" s="109">
        <f>IF($A124&lt;&gt;0,VLOOKUP($A124,Liste!$A$10:$W$59,8,FALSE),"")</f>
        <v>320</v>
      </c>
      <c r="F125" s="184"/>
      <c r="G125" s="182" t="s">
        <v>158</v>
      </c>
      <c r="H125" s="106"/>
      <c r="I125" s="106"/>
      <c r="J125" s="106"/>
      <c r="K125" s="106"/>
      <c r="L125" s="26"/>
    </row>
    <row r="126" spans="1:12" x14ac:dyDescent="0.25">
      <c r="A126" s="114" t="str">
        <f>IF($A124&lt;&gt;0,VLOOKUP($A124,Liste!$A$10:$W$59,5,FALSE),"")</f>
        <v>13 rue de l' espoir</v>
      </c>
      <c r="F126" s="170"/>
      <c r="G126" s="171" t="s">
        <v>163</v>
      </c>
      <c r="H126" s="171"/>
      <c r="I126" s="171"/>
      <c r="J126" s="171"/>
      <c r="K126" s="171"/>
      <c r="L126" s="127"/>
    </row>
    <row r="127" spans="1:12" x14ac:dyDescent="0.25">
      <c r="A127" s="114">
        <f>IF($A124&lt;&gt;0,VLOOKUP($A124,Liste!$A$10:$W$59,6,FALSE),"")</f>
        <v>75016</v>
      </c>
      <c r="B127" s="107" t="str">
        <f>IF($A124&lt;&gt;0,VLOOKUP($A124,Liste!$A$10:$W$59,7,FALSE),"")</f>
        <v xml:space="preserve">Paris </v>
      </c>
      <c r="F127" s="172"/>
      <c r="G127" s="82"/>
      <c r="H127" s="82"/>
      <c r="I127" s="82"/>
      <c r="J127" s="82"/>
      <c r="K127" s="82"/>
      <c r="L127" s="89"/>
    </row>
    <row r="128" spans="1:12" x14ac:dyDescent="0.25">
      <c r="A128" s="115" t="str">
        <f xml:space="preserve"> IF($A124&lt;&gt;0, "Lot " &amp; VLOOKUP($A124,Liste!$A$10:$W$59,9,FALSE),"")</f>
        <v>Lot 12</v>
      </c>
      <c r="B128" s="111" t="str">
        <f>IF($A124&lt;&gt;0,VLOOKUP($A124,Liste!$A$10:$W$59,10,FALSE),"")</f>
        <v>Appart,</v>
      </c>
      <c r="C128" s="110">
        <f>IF($A124&lt;&gt;0,VLOOKUP($A124,Liste!$A$10:$W$59,11,FALSE),"")</f>
        <v>260</v>
      </c>
      <c r="F128" s="172"/>
      <c r="G128" s="82"/>
      <c r="H128" s="82"/>
      <c r="I128" s="82"/>
      <c r="J128" s="82"/>
      <c r="K128" s="82"/>
      <c r="L128" s="89"/>
    </row>
    <row r="129" spans="1:12" ht="13.8" thickBot="1" x14ac:dyDescent="0.3">
      <c r="A129" s="115" t="str">
        <f>IF($A124&lt;&gt;0,"Lot " &amp; VLOOKUP($A124,Liste!$A$10:$W$59,12,FALSE),"")</f>
        <v>Lot 37</v>
      </c>
      <c r="B129" s="111" t="str">
        <f>IF($A124&lt;&gt;0,VLOOKUP($A124,Liste!$A$10:$W$59,13,FALSE),"")</f>
        <v>Cave</v>
      </c>
      <c r="C129" s="110">
        <f>IF($A124&lt;&gt;0,VLOOKUP($A124,Liste!$A$10:$W$59,14,FALSE),"")</f>
        <v>20</v>
      </c>
      <c r="D129" s="111"/>
      <c r="E129" s="116"/>
      <c r="F129" s="173"/>
      <c r="G129" s="122"/>
      <c r="H129" s="122"/>
      <c r="I129" s="122"/>
      <c r="J129" s="122"/>
      <c r="K129" s="122"/>
      <c r="L129" s="128"/>
    </row>
    <row r="130" spans="1:12" x14ac:dyDescent="0.25">
      <c r="A130" s="125" t="str">
        <f>IF($A124&lt;&gt;0,"Lot " &amp; VLOOKUP($A124,Liste!$A$10:$W$59,15,FALSE),"")</f>
        <v>Lot 62</v>
      </c>
      <c r="B130" s="119" t="str">
        <f>IF($A124&lt;&gt;0,VLOOKUP($A124,Liste!$A$10:$W$59,16,FALSE),"")</f>
        <v>Parking</v>
      </c>
      <c r="C130" s="119">
        <f>IF($A124&lt;&gt;0,VLOOKUP($A124,Liste!$A$10:$W$59,17,FALSE),"")</f>
        <v>10</v>
      </c>
      <c r="D130" s="119"/>
      <c r="E130" s="125"/>
      <c r="F130" s="168"/>
      <c r="G130" s="168" t="s">
        <v>159</v>
      </c>
      <c r="H130" s="174" t="s">
        <v>160</v>
      </c>
      <c r="I130" s="84"/>
      <c r="J130" s="84"/>
      <c r="K130" s="84"/>
      <c r="L130" s="108"/>
    </row>
    <row r="131" spans="1:12" x14ac:dyDescent="0.25">
      <c r="A131" s="125" t="str">
        <f>IF($A124&lt;&gt;0,"Lot " &amp; VLOOKUP($A124,Liste!$A$10:$W$59,18,FALSE),"")</f>
        <v>Lot 81</v>
      </c>
      <c r="B131" s="119" t="str">
        <f>IF($A124&lt;&gt;0,VLOOKUP($A124,Liste!$A$10:$W$59,19,FALSE),"")</f>
        <v>Garage</v>
      </c>
      <c r="C131" s="119">
        <f>IF($A124&lt;&gt;0,VLOOKUP($A124,Liste!$A$10:$W$59,20,FALSE),"")</f>
        <v>30</v>
      </c>
      <c r="F131" s="169"/>
      <c r="G131" s="169" t="s">
        <v>161</v>
      </c>
      <c r="H131" s="174" t="s">
        <v>160</v>
      </c>
      <c r="I131" s="167"/>
      <c r="J131" s="167"/>
      <c r="K131" s="167"/>
      <c r="L131" s="176"/>
    </row>
    <row r="132" spans="1:12" ht="13.8" thickBot="1" x14ac:dyDescent="0.3">
      <c r="A132" s="124" t="str">
        <f>IF($A124&lt;&gt;0,"Lot " &amp; VLOOKUP($A124,Liste!$A$10:$W$59,21,FALSE),"")</f>
        <v xml:space="preserve">Lot </v>
      </c>
      <c r="B132" s="123">
        <f>IF($A124&lt;&gt;0,VLOOKUP($A124,Liste!$A$10:$W$59,22,FALSE),"")</f>
        <v>0</v>
      </c>
      <c r="C132" s="123">
        <f>IF($A124&lt;&gt;0,VLOOKUP($A124,Liste!$A$10:$W$59,23,FALSE),"")</f>
        <v>0</v>
      </c>
      <c r="D132" s="122"/>
      <c r="E132" s="122"/>
      <c r="F132" s="122"/>
      <c r="G132" s="226" t="str">
        <f>IF(OR(B125=0,VLOOKUP(A124,Liste!$A$10:'Liste'!$Z$59,26)&lt;&gt;""),"", "Voir autorisation messages électroniques")</f>
        <v/>
      </c>
      <c r="H132" s="226"/>
      <c r="I132" s="226"/>
      <c r="J132" s="122"/>
      <c r="K132" s="122"/>
      <c r="L132" s="128"/>
    </row>
    <row r="133" spans="1:12" ht="16.5" customHeight="1" x14ac:dyDescent="0.25">
      <c r="A133" s="120">
        <f>A124+1</f>
        <v>14</v>
      </c>
      <c r="B133" s="121"/>
      <c r="C133" s="82"/>
      <c r="D133" s="82"/>
      <c r="E133" s="82"/>
      <c r="F133" s="183"/>
      <c r="G133" s="181" t="s">
        <v>162</v>
      </c>
      <c r="H133" s="166"/>
      <c r="I133" s="166"/>
      <c r="J133" s="166"/>
      <c r="K133" s="166"/>
      <c r="L133" s="175"/>
    </row>
    <row r="134" spans="1:12" ht="18" thickBot="1" x14ac:dyDescent="0.35">
      <c r="A134" s="83" t="str">
        <f>IF($A133&lt;&gt;0,VLOOKUP($A133,Liste!$A$10:$W$59,3,FALSE),"")</f>
        <v>Madame</v>
      </c>
      <c r="B134" s="185" t="str">
        <f>IF($A133&lt;&gt;0,VLOOKUP($A133,Liste!$A$10:$W$59,4,FALSE),"")</f>
        <v>BATEMONT Jeanne</v>
      </c>
      <c r="E134" s="109">
        <f>IF($A133&lt;&gt;0,VLOOKUP($A133,Liste!$A$10:$W$59,8,FALSE),"")</f>
        <v>435</v>
      </c>
      <c r="F134" s="184"/>
      <c r="G134" s="182" t="s">
        <v>158</v>
      </c>
      <c r="H134" s="106"/>
      <c r="I134" s="106"/>
      <c r="J134" s="106"/>
      <c r="K134" s="106"/>
      <c r="L134" s="26"/>
    </row>
    <row r="135" spans="1:12" x14ac:dyDescent="0.25">
      <c r="A135" s="114" t="str">
        <f>IF($A133&lt;&gt;0,VLOOKUP($A133,Liste!$A$10:$W$59,5,FALSE),"")</f>
        <v>14 rue de l' espoir</v>
      </c>
      <c r="F135" s="170"/>
      <c r="G135" s="171" t="s">
        <v>163</v>
      </c>
      <c r="H135" s="171"/>
      <c r="I135" s="171"/>
      <c r="J135" s="171"/>
      <c r="K135" s="171"/>
      <c r="L135" s="127"/>
    </row>
    <row r="136" spans="1:12" x14ac:dyDescent="0.25">
      <c r="A136" s="114">
        <f>IF($A133&lt;&gt;0,VLOOKUP($A133,Liste!$A$10:$W$59,6,FALSE),"")</f>
        <v>75016</v>
      </c>
      <c r="B136" s="107" t="str">
        <f>IF($A133&lt;&gt;0,VLOOKUP($A133,Liste!$A$10:$W$59,7,FALSE),"")</f>
        <v xml:space="preserve">Paris </v>
      </c>
      <c r="F136" s="172"/>
      <c r="G136" s="82"/>
      <c r="H136" s="82"/>
      <c r="I136" s="82"/>
      <c r="J136" s="82"/>
      <c r="K136" s="82"/>
      <c r="L136" s="89"/>
    </row>
    <row r="137" spans="1:12" x14ac:dyDescent="0.25">
      <c r="A137" s="115" t="str">
        <f xml:space="preserve"> IF($A133&lt;&gt;0, "Lot " &amp; VLOOKUP($A133,Liste!$A$10:$W$59,9,FALSE),"")</f>
        <v>Lot 13</v>
      </c>
      <c r="B137" s="111" t="str">
        <f>IF($A133&lt;&gt;0,VLOOKUP($A133,Liste!$A$10:$W$59,10,FALSE),"")</f>
        <v>Appart,</v>
      </c>
      <c r="C137" s="110">
        <f>IF($A133&lt;&gt;0,VLOOKUP($A133,Liste!$A$10:$W$59,11,FALSE),"")</f>
        <v>405</v>
      </c>
      <c r="F137" s="172"/>
      <c r="G137" s="82"/>
      <c r="H137" s="82"/>
      <c r="I137" s="82"/>
      <c r="J137" s="82"/>
      <c r="K137" s="82"/>
      <c r="L137" s="89"/>
    </row>
    <row r="138" spans="1:12" ht="13.8" thickBot="1" x14ac:dyDescent="0.3">
      <c r="A138" s="115" t="str">
        <f>IF($A133&lt;&gt;0,"Lot " &amp; VLOOKUP($A133,Liste!$A$10:$W$59,12,FALSE),"")</f>
        <v>Lot 38</v>
      </c>
      <c r="B138" s="111" t="str">
        <f>IF($A133&lt;&gt;0,VLOOKUP($A133,Liste!$A$10:$W$59,13,FALSE),"")</f>
        <v>Cave</v>
      </c>
      <c r="C138" s="110">
        <f>IF($A133&lt;&gt;0,VLOOKUP($A133,Liste!$A$10:$W$59,14,FALSE),"")</f>
        <v>20</v>
      </c>
      <c r="D138" s="111"/>
      <c r="E138" s="116"/>
      <c r="F138" s="173"/>
      <c r="G138" s="122"/>
      <c r="H138" s="122"/>
      <c r="I138" s="122"/>
      <c r="J138" s="122"/>
      <c r="K138" s="122"/>
      <c r="L138" s="128"/>
    </row>
    <row r="139" spans="1:12" x14ac:dyDescent="0.25">
      <c r="A139" s="125" t="str">
        <f>IF($A133&lt;&gt;0,"Lot " &amp; VLOOKUP($A133,Liste!$A$10:$W$59,15,FALSE),"")</f>
        <v>Lot 63</v>
      </c>
      <c r="B139" s="119" t="str">
        <f>IF($A133&lt;&gt;0,VLOOKUP($A133,Liste!$A$10:$W$59,16,FALSE),"")</f>
        <v>Parking</v>
      </c>
      <c r="C139" s="119">
        <f>IF($A133&lt;&gt;0,VLOOKUP($A133,Liste!$A$10:$W$59,17,FALSE),"")</f>
        <v>10</v>
      </c>
      <c r="D139" s="119"/>
      <c r="E139" s="125"/>
      <c r="F139" s="168"/>
      <c r="G139" s="168" t="s">
        <v>159</v>
      </c>
      <c r="H139" s="174" t="s">
        <v>160</v>
      </c>
      <c r="I139" s="84"/>
      <c r="J139" s="84"/>
      <c r="K139" s="84"/>
      <c r="L139" s="108"/>
    </row>
    <row r="140" spans="1:12" x14ac:dyDescent="0.25">
      <c r="A140" s="125" t="str">
        <f>IF($A133&lt;&gt;0,"Lot " &amp; VLOOKUP($A133,Liste!$A$10:$W$59,18,FALSE),"")</f>
        <v xml:space="preserve">Lot </v>
      </c>
      <c r="B140" s="119">
        <f>IF($A133&lt;&gt;0,VLOOKUP($A133,Liste!$A$10:$W$59,19,FALSE),"")</f>
        <v>0</v>
      </c>
      <c r="C140" s="119">
        <f>IF($A133&lt;&gt;0,VLOOKUP($A133,Liste!$A$10:$W$59,20,FALSE),"")</f>
        <v>0</v>
      </c>
      <c r="F140" s="169"/>
      <c r="G140" s="169" t="s">
        <v>161</v>
      </c>
      <c r="H140" s="174" t="s">
        <v>160</v>
      </c>
      <c r="I140" s="167"/>
      <c r="J140" s="167"/>
      <c r="K140" s="167"/>
      <c r="L140" s="176"/>
    </row>
    <row r="141" spans="1:12" ht="13.8" thickBot="1" x14ac:dyDescent="0.3">
      <c r="A141" s="124" t="str">
        <f>IF($A133&lt;&gt;0,"Lot " &amp; VLOOKUP($A133,Liste!$A$10:$W$59,21,FALSE),"")</f>
        <v xml:space="preserve">Lot </v>
      </c>
      <c r="B141" s="123">
        <f>IF($A133&lt;&gt;0,VLOOKUP($A133,Liste!$A$10:$W$59,22,FALSE),"")</f>
        <v>0</v>
      </c>
      <c r="C141" s="123">
        <f>IF($A133&lt;&gt;0,VLOOKUP($A133,Liste!$A$10:$W$59,23,FALSE),"")</f>
        <v>0</v>
      </c>
      <c r="D141" s="122"/>
      <c r="E141" s="122"/>
      <c r="F141" s="122"/>
      <c r="G141" s="226" t="str">
        <f>IF(OR(B134=0,VLOOKUP(A133,Liste!$A$10:'Liste'!$Z$59,26)&lt;&gt;""),"", "Voir autorisation messages électroniques")</f>
        <v>Voir autorisation messages électroniques</v>
      </c>
      <c r="H141" s="226"/>
      <c r="I141" s="226"/>
      <c r="J141" s="122"/>
      <c r="K141" s="122"/>
      <c r="L141" s="128"/>
    </row>
    <row r="142" spans="1:12" ht="18.75" customHeight="1" x14ac:dyDescent="0.25">
      <c r="A142" s="120">
        <f>A133+1</f>
        <v>15</v>
      </c>
      <c r="B142" s="121"/>
      <c r="C142" s="82"/>
      <c r="D142" s="82"/>
      <c r="E142" s="82"/>
      <c r="F142" s="183"/>
      <c r="G142" s="181" t="s">
        <v>162</v>
      </c>
      <c r="H142" s="166"/>
      <c r="I142" s="166"/>
      <c r="J142" s="166"/>
      <c r="K142" s="166"/>
      <c r="L142" s="175"/>
    </row>
    <row r="143" spans="1:12" ht="18" thickBot="1" x14ac:dyDescent="0.35">
      <c r="A143" s="83" t="str">
        <f>IF($A142&lt;&gt;0,VLOOKUP($A142,Liste!$A$10:$W$59,3,FALSE),"")</f>
        <v>Monsieur</v>
      </c>
      <c r="B143" s="185" t="str">
        <f>IF($A142&lt;&gt;0,VLOOKUP($A142,Liste!$A$10:$W$59,4,FALSE),"")</f>
        <v>BAUDIARD Marcelin</v>
      </c>
      <c r="E143" s="109">
        <f>IF($A142&lt;&gt;0,VLOOKUP($A142,Liste!$A$10:$W$59,8,FALSE),"")</f>
        <v>395</v>
      </c>
      <c r="F143" s="184"/>
      <c r="G143" s="182" t="s">
        <v>158</v>
      </c>
      <c r="H143" s="106"/>
      <c r="I143" s="106"/>
      <c r="J143" s="106"/>
      <c r="K143" s="106"/>
      <c r="L143" s="26"/>
    </row>
    <row r="144" spans="1:12" x14ac:dyDescent="0.25">
      <c r="A144" s="114" t="str">
        <f>IF($A142&lt;&gt;0,VLOOKUP($A142,Liste!$A$10:$W$59,5,FALSE),"")</f>
        <v>15 rue de l' espoir</v>
      </c>
      <c r="F144" s="170"/>
      <c r="G144" s="171" t="s">
        <v>163</v>
      </c>
      <c r="H144" s="171"/>
      <c r="I144" s="171"/>
      <c r="J144" s="171"/>
      <c r="K144" s="171"/>
      <c r="L144" s="127"/>
    </row>
    <row r="145" spans="1:12" x14ac:dyDescent="0.25">
      <c r="A145" s="114">
        <f>IF($A142&lt;&gt;0,VLOOKUP($A142,Liste!$A$10:$W$59,6,FALSE),"")</f>
        <v>75016</v>
      </c>
      <c r="B145" s="107" t="str">
        <f>IF($A142&lt;&gt;0,VLOOKUP($A142,Liste!$A$10:$W$59,7,FALSE),"")</f>
        <v xml:space="preserve">Paris </v>
      </c>
      <c r="F145" s="172"/>
      <c r="G145" s="82"/>
      <c r="H145" s="82"/>
      <c r="I145" s="82"/>
      <c r="J145" s="82"/>
      <c r="K145" s="82"/>
      <c r="L145" s="89"/>
    </row>
    <row r="146" spans="1:12" x14ac:dyDescent="0.25">
      <c r="A146" s="115" t="str">
        <f xml:space="preserve"> IF($A142&lt;&gt;0, "Lot " &amp; VLOOKUP($A142,Liste!$A$10:$W$59,9,FALSE),"")</f>
        <v>Lot 14</v>
      </c>
      <c r="B146" s="111" t="str">
        <f>IF($A142&lt;&gt;0,VLOOKUP($A142,Liste!$A$10:$W$59,10,FALSE),"")</f>
        <v>Appart,</v>
      </c>
      <c r="C146" s="110">
        <f>IF($A142&lt;&gt;0,VLOOKUP($A142,Liste!$A$10:$W$59,11,FALSE),"")</f>
        <v>365</v>
      </c>
      <c r="F146" s="172"/>
      <c r="G146" s="82"/>
      <c r="H146" s="82"/>
      <c r="I146" s="82"/>
      <c r="J146" s="82"/>
      <c r="K146" s="82"/>
      <c r="L146" s="89"/>
    </row>
    <row r="147" spans="1:12" ht="13.8" thickBot="1" x14ac:dyDescent="0.3">
      <c r="A147" s="115" t="str">
        <f>IF($A142&lt;&gt;0,"Lot " &amp; VLOOKUP($A142,Liste!$A$10:$W$59,12,FALSE),"")</f>
        <v>Lot 39</v>
      </c>
      <c r="B147" s="111" t="str">
        <f>IF($A142&lt;&gt;0,VLOOKUP($A142,Liste!$A$10:$W$59,13,FALSE),"")</f>
        <v>Cave</v>
      </c>
      <c r="C147" s="110">
        <f>IF($A142&lt;&gt;0,VLOOKUP($A142,Liste!$A$10:$W$59,14,FALSE),"")</f>
        <v>20</v>
      </c>
      <c r="D147" s="111"/>
      <c r="E147" s="116"/>
      <c r="F147" s="173"/>
      <c r="G147" s="122"/>
      <c r="H147" s="122"/>
      <c r="I147" s="122"/>
      <c r="J147" s="122"/>
      <c r="K147" s="122"/>
      <c r="L147" s="128"/>
    </row>
    <row r="148" spans="1:12" x14ac:dyDescent="0.25">
      <c r="A148" s="125" t="str">
        <f>IF($A142&lt;&gt;0,"Lot " &amp; VLOOKUP($A142,Liste!$A$10:$W$59,15,FALSE),"")</f>
        <v>Lot 64</v>
      </c>
      <c r="B148" s="119" t="str">
        <f>IF($A142&lt;&gt;0,VLOOKUP($A142,Liste!$A$10:$W$59,16,FALSE),"")</f>
        <v>Parking</v>
      </c>
      <c r="C148" s="119">
        <f>IF($A142&lt;&gt;0,VLOOKUP($A142,Liste!$A$10:$W$59,17,FALSE),"")</f>
        <v>10</v>
      </c>
      <c r="D148" s="119"/>
      <c r="E148" s="125"/>
      <c r="F148" s="168"/>
      <c r="G148" s="168" t="s">
        <v>159</v>
      </c>
      <c r="H148" s="174" t="s">
        <v>160</v>
      </c>
      <c r="I148" s="84"/>
      <c r="J148" s="84"/>
      <c r="K148" s="84"/>
      <c r="L148" s="108"/>
    </row>
    <row r="149" spans="1:12" x14ac:dyDescent="0.25">
      <c r="A149" s="125" t="str">
        <f>IF($A142&lt;&gt;0,"Lot " &amp; VLOOKUP($A142,Liste!$A$10:$W$59,18,FALSE),"")</f>
        <v xml:space="preserve">Lot </v>
      </c>
      <c r="B149" s="119">
        <f>IF($A142&lt;&gt;0,VLOOKUP($A142,Liste!$A$10:$W$59,19,FALSE),"")</f>
        <v>0</v>
      </c>
      <c r="C149" s="119">
        <f>IF($A142&lt;&gt;0,VLOOKUP($A142,Liste!$A$10:$W$59,20,FALSE),"")</f>
        <v>0</v>
      </c>
      <c r="F149" s="169"/>
      <c r="G149" s="169" t="s">
        <v>161</v>
      </c>
      <c r="H149" s="174" t="s">
        <v>160</v>
      </c>
      <c r="I149" s="167"/>
      <c r="J149" s="167"/>
      <c r="K149" s="167"/>
      <c r="L149" s="176"/>
    </row>
    <row r="150" spans="1:12" ht="13.8" thickBot="1" x14ac:dyDescent="0.3">
      <c r="A150" s="124" t="str">
        <f>IF($A142&lt;&gt;0,"Lot " &amp; VLOOKUP($A142,Liste!$A$10:$W$59,21,FALSE),"")</f>
        <v xml:space="preserve">Lot </v>
      </c>
      <c r="B150" s="123">
        <f>IF($A142&lt;&gt;0,VLOOKUP($A142,Liste!$A$10:$W$59,22,FALSE),"")</f>
        <v>0</v>
      </c>
      <c r="C150" s="123">
        <f>IF($A142&lt;&gt;0,VLOOKUP($A142,Liste!$A$10:$W$59,23,FALSE),"")</f>
        <v>0</v>
      </c>
      <c r="D150" s="122"/>
      <c r="E150" s="122"/>
      <c r="F150" s="122"/>
      <c r="G150" s="226" t="str">
        <f>IF(OR(B143=0,VLOOKUP(A142,Liste!$A$10:'Liste'!$Z$59,26)&lt;&gt;""),"", "Voir autorisation messages électroniques")</f>
        <v>Voir autorisation messages électroniques</v>
      </c>
      <c r="H150" s="226"/>
      <c r="I150" s="226"/>
      <c r="J150" s="122"/>
      <c r="K150" s="122"/>
      <c r="L150" s="128"/>
    </row>
    <row r="151" spans="1:12" x14ac:dyDescent="0.25">
      <c r="A151" s="120">
        <f>A142+1</f>
        <v>16</v>
      </c>
      <c r="B151" s="121"/>
      <c r="C151" s="82"/>
      <c r="D151" s="82"/>
      <c r="E151" s="82"/>
      <c r="F151" s="183"/>
      <c r="G151" s="181" t="s">
        <v>162</v>
      </c>
      <c r="H151" s="166"/>
      <c r="I151" s="166"/>
      <c r="J151" s="166"/>
      <c r="K151" s="166"/>
      <c r="L151" s="175"/>
    </row>
    <row r="152" spans="1:12" ht="21.6" thickBot="1" x14ac:dyDescent="0.45">
      <c r="A152" s="83" t="str">
        <f>IF($A151&lt;&gt;0,VLOOKUP($A151,Liste!$A$10:$W$59,3,FALSE),"")</f>
        <v>Monsieur</v>
      </c>
      <c r="B152" s="186" t="str">
        <f>IF($A151&lt;&gt;0,VLOOKUP($A151,Liste!$A$10:$W$59,4,FALSE),"")</f>
        <v>BELARDIN Denis</v>
      </c>
      <c r="E152" s="109">
        <f>IF($A151&lt;&gt;0,VLOOKUP($A151,Liste!$A$10:$W$59,8,FALSE),"")</f>
        <v>390</v>
      </c>
      <c r="F152" s="184"/>
      <c r="G152" s="182" t="s">
        <v>158</v>
      </c>
      <c r="H152" s="106"/>
      <c r="I152" s="106"/>
      <c r="J152" s="106"/>
      <c r="K152" s="106"/>
      <c r="L152" s="26"/>
    </row>
    <row r="153" spans="1:12" x14ac:dyDescent="0.25">
      <c r="A153" s="114" t="str">
        <f>IF($A151&lt;&gt;0,VLOOKUP($A151,Liste!$A$10:$W$59,5,FALSE),"")</f>
        <v>16 rue de l' espoir</v>
      </c>
      <c r="F153" s="170"/>
      <c r="G153" s="171" t="s">
        <v>163</v>
      </c>
      <c r="H153" s="171"/>
      <c r="I153" s="171"/>
      <c r="J153" s="171"/>
      <c r="K153" s="171"/>
      <c r="L153" s="127"/>
    </row>
    <row r="154" spans="1:12" x14ac:dyDescent="0.25">
      <c r="A154" s="114">
        <f>IF($A151&lt;&gt;0,VLOOKUP($A151,Liste!$A$10:$W$59,6,FALSE),"")</f>
        <v>75016</v>
      </c>
      <c r="B154" s="107" t="str">
        <f>IF($A151&lt;&gt;0,VLOOKUP($A151,Liste!$A$10:$W$59,7,FALSE),"")</f>
        <v xml:space="preserve">Paris </v>
      </c>
      <c r="F154" s="172"/>
      <c r="G154" s="82"/>
      <c r="H154" s="82"/>
      <c r="I154" s="82"/>
      <c r="J154" s="82"/>
      <c r="K154" s="82"/>
      <c r="L154" s="89"/>
    </row>
    <row r="155" spans="1:12" x14ac:dyDescent="0.25">
      <c r="A155" s="115" t="str">
        <f xml:space="preserve"> IF($A151&lt;&gt;0, "Lot " &amp; VLOOKUP($A151,Liste!$A$10:$W$59,9,FALSE),"")</f>
        <v>Lot 15</v>
      </c>
      <c r="B155" s="111" t="str">
        <f>IF($A151&lt;&gt;0,VLOOKUP($A151,Liste!$A$10:$W$59,10,FALSE),"")</f>
        <v>Appart,</v>
      </c>
      <c r="C155" s="110">
        <f>IF($A151&lt;&gt;0,VLOOKUP($A151,Liste!$A$10:$W$59,11,FALSE),"")</f>
        <v>335</v>
      </c>
      <c r="F155" s="172"/>
      <c r="G155" s="82"/>
      <c r="H155" s="82"/>
      <c r="I155" s="82"/>
      <c r="J155" s="82"/>
      <c r="K155" s="82"/>
      <c r="L155" s="89"/>
    </row>
    <row r="156" spans="1:12" ht="13.8" thickBot="1" x14ac:dyDescent="0.3">
      <c r="A156" s="115" t="str">
        <f>IF($A151&lt;&gt;0,"Lot " &amp; VLOOKUP($A151,Liste!$A$10:$W$59,12,FALSE),"")</f>
        <v>Lot 40</v>
      </c>
      <c r="B156" s="111" t="str">
        <f>IF($A151&lt;&gt;0,VLOOKUP($A151,Liste!$A$10:$W$59,13,FALSE),"")</f>
        <v>Cave</v>
      </c>
      <c r="C156" s="110">
        <f>IF($A151&lt;&gt;0,VLOOKUP($A151,Liste!$A$10:$W$59,14,FALSE),"")</f>
        <v>20</v>
      </c>
      <c r="D156" s="111"/>
      <c r="E156" s="116"/>
      <c r="F156" s="173"/>
      <c r="G156" s="122"/>
      <c r="H156" s="122"/>
      <c r="I156" s="122"/>
      <c r="J156" s="122"/>
      <c r="K156" s="122"/>
      <c r="L156" s="128"/>
    </row>
    <row r="157" spans="1:12" x14ac:dyDescent="0.25">
      <c r="A157" s="125" t="str">
        <f>IF($A151&lt;&gt;0,"Lot " &amp; VLOOKUP($A151,Liste!$A$10:$W$59,15,FALSE),"")</f>
        <v>Lot 65</v>
      </c>
      <c r="B157" s="119" t="str">
        <f>IF($A151&lt;&gt;0,VLOOKUP($A151,Liste!$A$10:$W$59,16,FALSE),"")</f>
        <v>Parking</v>
      </c>
      <c r="C157" s="119">
        <f>IF($A151&lt;&gt;0,VLOOKUP($A151,Liste!$A$10:$W$59,17,FALSE),"")</f>
        <v>10</v>
      </c>
      <c r="D157" s="119"/>
      <c r="E157" s="125"/>
      <c r="F157" s="168"/>
      <c r="G157" s="168" t="s">
        <v>159</v>
      </c>
      <c r="H157" s="174" t="s">
        <v>160</v>
      </c>
      <c r="I157" s="84"/>
      <c r="J157" s="84"/>
      <c r="K157" s="84"/>
      <c r="L157" s="108"/>
    </row>
    <row r="158" spans="1:12" x14ac:dyDescent="0.25">
      <c r="A158" s="125" t="str">
        <f>IF($A151&lt;&gt;0,"Lot " &amp; VLOOKUP($A151,Liste!$A$10:$W$59,18,FALSE),"")</f>
        <v xml:space="preserve">Lot </v>
      </c>
      <c r="B158" s="119">
        <f>IF($A151&lt;&gt;0,VLOOKUP($A151,Liste!$A$10:$W$59,19,FALSE),"")</f>
        <v>0</v>
      </c>
      <c r="C158" s="119">
        <f>IF($A151&lt;&gt;0,VLOOKUP($A151,Liste!$A$10:$W$59,20,FALSE),"")</f>
        <v>0</v>
      </c>
      <c r="F158" s="169"/>
      <c r="G158" s="169" t="s">
        <v>161</v>
      </c>
      <c r="H158" s="174" t="s">
        <v>160</v>
      </c>
      <c r="I158" s="167"/>
      <c r="J158" s="167"/>
      <c r="K158" s="167"/>
      <c r="L158" s="176"/>
    </row>
    <row r="159" spans="1:12" ht="13.8" thickBot="1" x14ac:dyDescent="0.3">
      <c r="A159" s="124" t="str">
        <f>IF($A151&lt;&gt;0,"Lot " &amp; VLOOKUP($A151,Liste!$A$10:$W$59,21,FALSE),"")</f>
        <v>Lot 85</v>
      </c>
      <c r="B159" s="123" t="str">
        <f>IF($A151&lt;&gt;0,VLOOKUP($A151,Liste!$A$10:$W$59,22,FALSE),"")</f>
        <v>Box</v>
      </c>
      <c r="C159" s="123">
        <f>IF($A151&lt;&gt;0,VLOOKUP($A151,Liste!$A$10:$W$59,23,FALSE),"")</f>
        <v>25</v>
      </c>
      <c r="D159" s="122"/>
      <c r="E159" s="122"/>
      <c r="F159" s="122"/>
      <c r="G159" s="226" t="str">
        <f>IF(OR(B152=0,VLOOKUP(A151,Liste!$A$10:'Liste'!$Z$59,26)&lt;&gt;""),"", "Voir autorisation messages électroniques")</f>
        <v/>
      </c>
      <c r="H159" s="226"/>
      <c r="I159" s="226"/>
      <c r="J159" s="122"/>
      <c r="K159" s="122"/>
      <c r="L159" s="128"/>
    </row>
    <row r="160" spans="1:12" ht="17.25" customHeight="1" x14ac:dyDescent="0.25">
      <c r="A160" s="120">
        <f>A151+1</f>
        <v>17</v>
      </c>
      <c r="B160" s="121"/>
      <c r="C160" s="82"/>
      <c r="D160" s="82"/>
      <c r="E160" s="82"/>
      <c r="F160" s="183"/>
      <c r="G160" s="181" t="s">
        <v>162</v>
      </c>
      <c r="H160" s="166"/>
      <c r="I160" s="166"/>
      <c r="J160" s="166"/>
      <c r="K160" s="166"/>
      <c r="L160" s="175"/>
    </row>
    <row r="161" spans="1:12" ht="18" thickBot="1" x14ac:dyDescent="0.35">
      <c r="A161" s="83" t="str">
        <f>IF($A160&lt;&gt;0,VLOOKUP($A160,Liste!$A$10:$W$59,3,FALSE),"")</f>
        <v>Monsieur</v>
      </c>
      <c r="B161" s="185" t="str">
        <f>IF($A160&lt;&gt;0,VLOOKUP($A160,Liste!$A$10:$W$59,4,FALSE),"")</f>
        <v>BERTELOT Marcel</v>
      </c>
      <c r="E161" s="109">
        <f>IF($A160&lt;&gt;0,VLOOKUP($A160,Liste!$A$10:$W$59,8,FALSE),"")</f>
        <v>395</v>
      </c>
      <c r="F161" s="184"/>
      <c r="G161" s="182" t="s">
        <v>158</v>
      </c>
      <c r="H161" s="106"/>
      <c r="I161" s="106"/>
      <c r="J161" s="106"/>
      <c r="K161" s="106"/>
      <c r="L161" s="26"/>
    </row>
    <row r="162" spans="1:12" x14ac:dyDescent="0.25">
      <c r="A162" s="114" t="str">
        <f>IF($A160&lt;&gt;0,VLOOKUP($A160,Liste!$A$10:$W$59,5,FALSE),"")</f>
        <v>13 rue de l' espoir</v>
      </c>
      <c r="F162" s="170"/>
      <c r="G162" s="171" t="s">
        <v>163</v>
      </c>
      <c r="H162" s="171"/>
      <c r="I162" s="171"/>
      <c r="J162" s="171"/>
      <c r="K162" s="171"/>
      <c r="L162" s="127"/>
    </row>
    <row r="163" spans="1:12" x14ac:dyDescent="0.25">
      <c r="A163" s="114">
        <f>IF($A160&lt;&gt;0,VLOOKUP($A160,Liste!$A$10:$W$59,6,FALSE),"")</f>
        <v>75016</v>
      </c>
      <c r="B163" s="107" t="str">
        <f>IF($A160&lt;&gt;0,VLOOKUP($A160,Liste!$A$10:$W$59,7,FALSE),"")</f>
        <v xml:space="preserve">Paris </v>
      </c>
      <c r="F163" s="172"/>
      <c r="G163" s="82"/>
      <c r="H163" s="82"/>
      <c r="I163" s="82"/>
      <c r="J163" s="82"/>
      <c r="K163" s="82"/>
      <c r="L163" s="89"/>
    </row>
    <row r="164" spans="1:12" x14ac:dyDescent="0.25">
      <c r="A164" s="115" t="str">
        <f xml:space="preserve"> IF($A160&lt;&gt;0, "Lot " &amp; VLOOKUP($A160,Liste!$A$10:$W$59,9,FALSE),"")</f>
        <v>Lot 17</v>
      </c>
      <c r="B164" s="111" t="str">
        <f>IF($A160&lt;&gt;0,VLOOKUP($A160,Liste!$A$10:$W$59,10,FALSE),"")</f>
        <v>Appart,</v>
      </c>
      <c r="C164" s="110">
        <f>IF($A160&lt;&gt;0,VLOOKUP($A160,Liste!$A$10:$W$59,11,FALSE),"")</f>
        <v>365</v>
      </c>
      <c r="F164" s="172"/>
      <c r="G164" s="82"/>
      <c r="H164" s="82"/>
      <c r="I164" s="82"/>
      <c r="J164" s="82"/>
      <c r="K164" s="82"/>
      <c r="L164" s="89"/>
    </row>
    <row r="165" spans="1:12" ht="13.8" thickBot="1" x14ac:dyDescent="0.3">
      <c r="A165" s="115" t="str">
        <f>IF($A160&lt;&gt;0,"Lot " &amp; VLOOKUP($A160,Liste!$A$10:$W$59,12,FALSE),"")</f>
        <v>Lot 42</v>
      </c>
      <c r="B165" s="111" t="str">
        <f>IF($A160&lt;&gt;0,VLOOKUP($A160,Liste!$A$10:$W$59,13,FALSE),"")</f>
        <v>Cave</v>
      </c>
      <c r="C165" s="110">
        <f>IF($A160&lt;&gt;0,VLOOKUP($A160,Liste!$A$10:$W$59,14,FALSE),"")</f>
        <v>20</v>
      </c>
      <c r="D165" s="111"/>
      <c r="E165" s="116"/>
      <c r="F165" s="173"/>
      <c r="G165" s="122"/>
      <c r="H165" s="122"/>
      <c r="I165" s="122"/>
      <c r="J165" s="122"/>
      <c r="K165" s="122"/>
      <c r="L165" s="128"/>
    </row>
    <row r="166" spans="1:12" x14ac:dyDescent="0.25">
      <c r="A166" s="125" t="str">
        <f>IF($A160&lt;&gt;0,"Lot " &amp; VLOOKUP($A160,Liste!$A$10:$W$59,15,FALSE),"")</f>
        <v>Lot 67</v>
      </c>
      <c r="B166" s="119" t="str">
        <f>IF($A160&lt;&gt;0,VLOOKUP($A160,Liste!$A$10:$W$59,16,FALSE),"")</f>
        <v>Parking</v>
      </c>
      <c r="C166" s="119">
        <f>IF($A160&lt;&gt;0,VLOOKUP($A160,Liste!$A$10:$W$59,17,FALSE),"")</f>
        <v>10</v>
      </c>
      <c r="D166" s="119"/>
      <c r="E166" s="125"/>
      <c r="F166" s="168"/>
      <c r="G166" s="168" t="s">
        <v>159</v>
      </c>
      <c r="H166" s="174" t="s">
        <v>160</v>
      </c>
      <c r="I166" s="84"/>
      <c r="J166" s="84"/>
      <c r="K166" s="84"/>
      <c r="L166" s="108"/>
    </row>
    <row r="167" spans="1:12" x14ac:dyDescent="0.25">
      <c r="A167" s="125" t="str">
        <f>IF($A160&lt;&gt;0,"Lot " &amp; VLOOKUP($A160,Liste!$A$10:$W$59,18,FALSE),"")</f>
        <v xml:space="preserve">Lot </v>
      </c>
      <c r="B167" s="119">
        <f>IF($A160&lt;&gt;0,VLOOKUP($A160,Liste!$A$10:$W$59,19,FALSE),"")</f>
        <v>0</v>
      </c>
      <c r="C167" s="119">
        <f>IF($A160&lt;&gt;0,VLOOKUP($A160,Liste!$A$10:$W$59,20,FALSE),"")</f>
        <v>0</v>
      </c>
      <c r="F167" s="169"/>
      <c r="G167" s="169" t="s">
        <v>161</v>
      </c>
      <c r="H167" s="174" t="s">
        <v>160</v>
      </c>
      <c r="I167" s="167"/>
      <c r="J167" s="167"/>
      <c r="K167" s="167"/>
      <c r="L167" s="176"/>
    </row>
    <row r="168" spans="1:12" ht="13.8" thickBot="1" x14ac:dyDescent="0.3">
      <c r="A168" s="124" t="str">
        <f>IF($A160&lt;&gt;0,"Lot " &amp; VLOOKUP($A160,Liste!$A$10:$W$59,21,FALSE),"")</f>
        <v xml:space="preserve">Lot </v>
      </c>
      <c r="B168" s="123">
        <f>IF($A160&lt;&gt;0,VLOOKUP($A160,Liste!$A$10:$W$59,22,FALSE),"")</f>
        <v>0</v>
      </c>
      <c r="C168" s="123">
        <f>IF($A160&lt;&gt;0,VLOOKUP($A160,Liste!$A$10:$W$59,23,FALSE),"")</f>
        <v>0</v>
      </c>
      <c r="D168" s="122"/>
      <c r="E168" s="122"/>
      <c r="F168" s="122"/>
      <c r="G168" s="226" t="str">
        <f>IF(OR(B161=0,VLOOKUP(A160,Liste!$A$10:'Liste'!$Z$59,26)&lt;&gt;""),"", "Voir autorisation messages électroniques")</f>
        <v>Voir autorisation messages électroniques</v>
      </c>
      <c r="H168" s="226"/>
      <c r="I168" s="226"/>
      <c r="J168" s="122"/>
      <c r="K168" s="122"/>
      <c r="L168" s="128"/>
    </row>
    <row r="169" spans="1:12" ht="15.75" customHeight="1" x14ac:dyDescent="0.25">
      <c r="A169" s="120">
        <f>A160+1</f>
        <v>18</v>
      </c>
      <c r="B169" s="121"/>
      <c r="C169" s="82"/>
      <c r="D169" s="82"/>
      <c r="E169" s="82"/>
      <c r="F169" s="183"/>
      <c r="G169" s="181" t="s">
        <v>162</v>
      </c>
      <c r="H169" s="166"/>
      <c r="I169" s="166"/>
      <c r="J169" s="166"/>
      <c r="K169" s="166"/>
      <c r="L169" s="175"/>
    </row>
    <row r="170" spans="1:12" ht="18" thickBot="1" x14ac:dyDescent="0.35">
      <c r="A170" s="83" t="str">
        <f>IF($A169&lt;&gt;0,VLOOKUP($A169,Liste!$A$10:$W$59,3,FALSE),"")</f>
        <v>Madame</v>
      </c>
      <c r="B170" s="185" t="str">
        <f>IF($A169&lt;&gt;0,VLOOKUP($A169,Liste!$A$10:$W$59,4,FALSE),"")</f>
        <v>BESARDINI Luciennne</v>
      </c>
      <c r="E170" s="109">
        <f>IF($A169&lt;&gt;0,VLOOKUP($A169,Liste!$A$10:$W$59,8,FALSE),"")</f>
        <v>415</v>
      </c>
      <c r="F170" s="184"/>
      <c r="G170" s="182" t="s">
        <v>158</v>
      </c>
      <c r="H170" s="106"/>
      <c r="I170" s="106"/>
      <c r="J170" s="106"/>
      <c r="K170" s="106"/>
      <c r="L170" s="26"/>
    </row>
    <row r="171" spans="1:12" x14ac:dyDescent="0.25">
      <c r="A171" s="114" t="str">
        <f>IF($A169&lt;&gt;0,VLOOKUP($A169,Liste!$A$10:$W$59,5,FALSE),"")</f>
        <v>14 rue de l' espoir</v>
      </c>
      <c r="F171" s="170"/>
      <c r="G171" s="171" t="s">
        <v>163</v>
      </c>
      <c r="H171" s="171"/>
      <c r="I171" s="171"/>
      <c r="J171" s="171"/>
      <c r="K171" s="171"/>
      <c r="L171" s="127"/>
    </row>
    <row r="172" spans="1:12" x14ac:dyDescent="0.25">
      <c r="A172" s="114">
        <f>IF($A169&lt;&gt;0,VLOOKUP($A169,Liste!$A$10:$W$59,6,FALSE),"")</f>
        <v>75016</v>
      </c>
      <c r="B172" s="107" t="str">
        <f>IF($A169&lt;&gt;0,VLOOKUP($A169,Liste!$A$10:$W$59,7,FALSE),"")</f>
        <v xml:space="preserve">Paris </v>
      </c>
      <c r="F172" s="172"/>
      <c r="G172" s="82"/>
      <c r="H172" s="82"/>
      <c r="I172" s="82"/>
      <c r="J172" s="82"/>
      <c r="K172" s="82"/>
      <c r="L172" s="89"/>
    </row>
    <row r="173" spans="1:12" x14ac:dyDescent="0.25">
      <c r="A173" s="115" t="str">
        <f xml:space="preserve"> IF($A169&lt;&gt;0, "Lot " &amp; VLOOKUP($A169,Liste!$A$10:$W$59,9,FALSE),"")</f>
        <v>Lot 18</v>
      </c>
      <c r="B173" s="111" t="str">
        <f>IF($A169&lt;&gt;0,VLOOKUP($A169,Liste!$A$10:$W$59,10,FALSE),"")</f>
        <v>Appart,</v>
      </c>
      <c r="C173" s="110">
        <f>IF($A169&lt;&gt;0,VLOOKUP($A169,Liste!$A$10:$W$59,11,FALSE),"")</f>
        <v>385</v>
      </c>
      <c r="F173" s="172"/>
      <c r="G173" s="82"/>
      <c r="H173" s="82"/>
      <c r="I173" s="82"/>
      <c r="J173" s="82"/>
      <c r="K173" s="82"/>
      <c r="L173" s="89"/>
    </row>
    <row r="174" spans="1:12" ht="13.8" thickBot="1" x14ac:dyDescent="0.3">
      <c r="A174" s="115" t="str">
        <f>IF($A169&lt;&gt;0,"Lot " &amp; VLOOKUP($A169,Liste!$A$10:$W$59,12,FALSE),"")</f>
        <v>Lot 43</v>
      </c>
      <c r="B174" s="111" t="str">
        <f>IF($A169&lt;&gt;0,VLOOKUP($A169,Liste!$A$10:$W$59,13,FALSE),"")</f>
        <v>Cave</v>
      </c>
      <c r="C174" s="110">
        <f>IF($A169&lt;&gt;0,VLOOKUP($A169,Liste!$A$10:$W$59,14,FALSE),"")</f>
        <v>20</v>
      </c>
      <c r="D174" s="111"/>
      <c r="E174" s="116"/>
      <c r="F174" s="173"/>
      <c r="G174" s="122"/>
      <c r="H174" s="122"/>
      <c r="I174" s="122"/>
      <c r="J174" s="122"/>
      <c r="K174" s="122"/>
      <c r="L174" s="128"/>
    </row>
    <row r="175" spans="1:12" x14ac:dyDescent="0.25">
      <c r="A175" s="125" t="str">
        <f>IF($A169&lt;&gt;0,"Lot " &amp; VLOOKUP($A169,Liste!$A$10:$W$59,15,FALSE),"")</f>
        <v>Lot 68</v>
      </c>
      <c r="B175" s="119" t="str">
        <f>IF($A169&lt;&gt;0,VLOOKUP($A169,Liste!$A$10:$W$59,16,FALSE),"")</f>
        <v>Parking</v>
      </c>
      <c r="C175" s="119">
        <f>IF($A169&lt;&gt;0,VLOOKUP($A169,Liste!$A$10:$W$59,17,FALSE),"")</f>
        <v>10</v>
      </c>
      <c r="D175" s="119"/>
      <c r="E175" s="125"/>
      <c r="F175" s="168"/>
      <c r="G175" s="168" t="s">
        <v>159</v>
      </c>
      <c r="H175" s="174" t="s">
        <v>160</v>
      </c>
      <c r="I175" s="84"/>
      <c r="J175" s="84"/>
      <c r="K175" s="84"/>
      <c r="L175" s="108"/>
    </row>
    <row r="176" spans="1:12" x14ac:dyDescent="0.25">
      <c r="A176" s="125" t="str">
        <f>IF($A169&lt;&gt;0,"Lot " &amp; VLOOKUP($A169,Liste!$A$10:$W$59,18,FALSE),"")</f>
        <v xml:space="preserve">Lot </v>
      </c>
      <c r="B176" s="119">
        <f>IF($A169&lt;&gt;0,VLOOKUP($A169,Liste!$A$10:$W$59,19,FALSE),"")</f>
        <v>0</v>
      </c>
      <c r="C176" s="119">
        <f>IF($A169&lt;&gt;0,VLOOKUP($A169,Liste!$A$10:$W$59,20,FALSE),"")</f>
        <v>0</v>
      </c>
      <c r="F176" s="169"/>
      <c r="G176" s="169" t="s">
        <v>161</v>
      </c>
      <c r="H176" s="174" t="s">
        <v>160</v>
      </c>
      <c r="I176" s="167"/>
      <c r="J176" s="167"/>
      <c r="K176" s="167"/>
      <c r="L176" s="176"/>
    </row>
    <row r="177" spans="1:12" ht="13.8" thickBot="1" x14ac:dyDescent="0.3">
      <c r="A177" s="124" t="str">
        <f>IF($A169&lt;&gt;0,"Lot " &amp; VLOOKUP($A169,Liste!$A$10:$W$59,21,FALSE),"")</f>
        <v xml:space="preserve">Lot </v>
      </c>
      <c r="B177" s="123">
        <f>IF($A169&lt;&gt;0,VLOOKUP($A169,Liste!$A$10:$W$59,22,FALSE),"")</f>
        <v>0</v>
      </c>
      <c r="C177" s="123">
        <f>IF($A169&lt;&gt;0,VLOOKUP($A169,Liste!$A$10:$W$59,23,FALSE),"")</f>
        <v>0</v>
      </c>
      <c r="D177" s="122"/>
      <c r="E177" s="122"/>
      <c r="F177" s="122"/>
      <c r="G177" s="226" t="str">
        <f>IF(OR(B170=0,VLOOKUP(A169,Liste!$A$10:'Liste'!$Z$59,26)&lt;&gt;""),"", "Voir autorisation messages électroniques")</f>
        <v>Voir autorisation messages électroniques</v>
      </c>
      <c r="H177" s="226"/>
      <c r="I177" s="226"/>
      <c r="J177" s="122"/>
      <c r="K177" s="122"/>
      <c r="L177" s="128"/>
    </row>
    <row r="178" spans="1:12" x14ac:dyDescent="0.25">
      <c r="L178" s="82"/>
    </row>
    <row r="179" spans="1:12" ht="17.399999999999999" x14ac:dyDescent="0.3">
      <c r="D179" s="112" t="s">
        <v>93</v>
      </c>
      <c r="E179" s="112"/>
      <c r="F179" s="112"/>
      <c r="K179" s="133" t="s">
        <v>98</v>
      </c>
      <c r="L179" s="177">
        <f>L120+1</f>
        <v>4</v>
      </c>
    </row>
    <row r="180" spans="1:12" x14ac:dyDescent="0.25">
      <c r="E180" s="133" t="s">
        <v>114</v>
      </c>
      <c r="F180" s="133"/>
      <c r="G180" s="152">
        <f>IF(A183&gt;0,Liste!$C$1,"")</f>
        <v>44084</v>
      </c>
    </row>
    <row r="181" spans="1:12" x14ac:dyDescent="0.25">
      <c r="D181" t="str">
        <f>IF(A183&gt;0,Liste!$C$3&amp;"; "&amp;Liste!$C$4&amp;" "&amp;Liste!$C$5,"""")</f>
        <v>Résidence Le Paradis; Rue de l' espoir 75016 PARIS</v>
      </c>
      <c r="E181" s="152"/>
      <c r="F181" s="152"/>
      <c r="G181" s="152"/>
    </row>
    <row r="182" spans="1:12" ht="13.8" thickBot="1" x14ac:dyDescent="0.3">
      <c r="A182" s="84"/>
      <c r="B182" s="84"/>
      <c r="C182" s="84"/>
      <c r="D182" s="84"/>
      <c r="E182" s="84"/>
      <c r="F182" s="84"/>
      <c r="G182" s="84"/>
    </row>
    <row r="183" spans="1:12" ht="17.25" customHeight="1" x14ac:dyDescent="0.25">
      <c r="A183" s="120">
        <f>A169+1</f>
        <v>19</v>
      </c>
      <c r="B183" s="121"/>
      <c r="C183" s="82"/>
      <c r="D183" s="82"/>
      <c r="E183" s="82"/>
      <c r="F183" s="183"/>
      <c r="G183" s="181" t="s">
        <v>162</v>
      </c>
      <c r="H183" s="166"/>
      <c r="I183" s="166"/>
      <c r="J183" s="166"/>
      <c r="K183" s="166"/>
      <c r="L183" s="175"/>
    </row>
    <row r="184" spans="1:12" ht="21.6" thickBot="1" x14ac:dyDescent="0.45">
      <c r="A184" s="83" t="str">
        <f>IF($A183&lt;&gt;0,VLOOKUP($A183,Liste!$A$10:$W$59,3,FALSE),"")</f>
        <v>Monsieur</v>
      </c>
      <c r="B184" s="186" t="str">
        <f>IF($A183&lt;&gt;0,VLOOKUP($A183,Liste!$A$10:$W$59,4,FALSE),"")</f>
        <v>BICHEMONT Paul</v>
      </c>
      <c r="E184" s="109">
        <f>IF($A183&lt;&gt;0,VLOOKUP($A183,Liste!$A$10:$W$59,8,FALSE),"")</f>
        <v>480</v>
      </c>
      <c r="F184" s="184"/>
      <c r="G184" s="182" t="s">
        <v>158</v>
      </c>
      <c r="H184" s="106"/>
      <c r="I184" s="106"/>
      <c r="J184" s="106"/>
      <c r="K184" s="106"/>
      <c r="L184" s="26"/>
    </row>
    <row r="185" spans="1:12" x14ac:dyDescent="0.25">
      <c r="A185" s="114" t="str">
        <f>IF($A183&lt;&gt;0,VLOOKUP($A183,Liste!$A$10:$W$59,5,FALSE),"")</f>
        <v>16 rue de l' espoir</v>
      </c>
      <c r="F185" s="170"/>
      <c r="G185" s="171" t="s">
        <v>163</v>
      </c>
      <c r="H185" s="171"/>
      <c r="I185" s="171"/>
      <c r="J185" s="171"/>
      <c r="K185" s="171"/>
      <c r="L185" s="127"/>
    </row>
    <row r="186" spans="1:12" x14ac:dyDescent="0.25">
      <c r="A186" s="114">
        <f>IF($A183&lt;&gt;0,VLOOKUP($A183,Liste!$A$10:$W$59,6,FALSE),"")</f>
        <v>75016</v>
      </c>
      <c r="B186" s="107" t="str">
        <f>IF($A183&lt;&gt;0,VLOOKUP($A183,Liste!$A$10:$W$59,7,FALSE),"")</f>
        <v xml:space="preserve">Paris </v>
      </c>
      <c r="F186" s="172"/>
      <c r="G186" s="82"/>
      <c r="H186" s="82"/>
      <c r="I186" s="82"/>
      <c r="J186" s="82"/>
      <c r="K186" s="82"/>
      <c r="L186" s="89"/>
    </row>
    <row r="187" spans="1:12" x14ac:dyDescent="0.25">
      <c r="A187" s="115" t="str">
        <f xml:space="preserve"> IF($A183&lt;&gt;0, "Lot " &amp; VLOOKUP($A183,Liste!$A$10:$W$59,9,FALSE),"")</f>
        <v>Lot 20</v>
      </c>
      <c r="B187" s="111" t="str">
        <f>IF($A183&lt;&gt;0,VLOOKUP($A183,Liste!$A$10:$W$59,10,FALSE),"")</f>
        <v>Appart,</v>
      </c>
      <c r="C187" s="110">
        <f>IF($A183&lt;&gt;0,VLOOKUP($A183,Liste!$A$10:$W$59,11,FALSE),"")</f>
        <v>425</v>
      </c>
      <c r="F187" s="172"/>
      <c r="G187" s="82"/>
      <c r="H187" s="82"/>
      <c r="I187" s="82"/>
      <c r="J187" s="82"/>
      <c r="K187" s="82"/>
      <c r="L187" s="89"/>
    </row>
    <row r="188" spans="1:12" ht="13.8" thickBot="1" x14ac:dyDescent="0.3">
      <c r="A188" s="115" t="str">
        <f>IF($A183&lt;&gt;0,"Lot " &amp; VLOOKUP($A183,Liste!$A$10:$W$59,12,FALSE),"")</f>
        <v>Lot 45</v>
      </c>
      <c r="B188" s="111" t="str">
        <f>IF($A183&lt;&gt;0,VLOOKUP($A183,Liste!$A$10:$W$59,13,FALSE),"")</f>
        <v>Cave</v>
      </c>
      <c r="C188" s="110">
        <f>IF($A183&lt;&gt;0,VLOOKUP($A183,Liste!$A$10:$W$59,14,FALSE),"")</f>
        <v>20</v>
      </c>
      <c r="D188" s="111"/>
      <c r="E188" s="116"/>
      <c r="F188" s="173"/>
      <c r="G188" s="122"/>
      <c r="H188" s="122"/>
      <c r="I188" s="122"/>
      <c r="J188" s="122"/>
      <c r="K188" s="122"/>
      <c r="L188" s="128"/>
    </row>
    <row r="189" spans="1:12" x14ac:dyDescent="0.25">
      <c r="A189" s="125" t="str">
        <f>IF($A183&lt;&gt;0,"Lot " &amp; VLOOKUP($A183,Liste!$A$10:$W$59,15,FALSE),"")</f>
        <v>Lot 70</v>
      </c>
      <c r="B189" s="119" t="str">
        <f>IF($A183&lt;&gt;0,VLOOKUP($A183,Liste!$A$10:$W$59,16,FALSE),"")</f>
        <v>Parking</v>
      </c>
      <c r="C189" s="119">
        <f>IF($A183&lt;&gt;0,VLOOKUP($A183,Liste!$A$10:$W$59,17,FALSE),"")</f>
        <v>10</v>
      </c>
      <c r="D189" s="119"/>
      <c r="E189" s="125"/>
      <c r="F189" s="168"/>
      <c r="G189" s="168" t="s">
        <v>159</v>
      </c>
      <c r="H189" s="174" t="s">
        <v>160</v>
      </c>
      <c r="I189" s="84"/>
      <c r="J189" s="84"/>
      <c r="K189" s="84"/>
      <c r="L189" s="108"/>
    </row>
    <row r="190" spans="1:12" x14ac:dyDescent="0.25">
      <c r="A190" s="125" t="str">
        <f>IF($A183&lt;&gt;0,"Lot " &amp; VLOOKUP($A183,Liste!$A$10:$W$59,18,FALSE),"")</f>
        <v xml:space="preserve">Lot </v>
      </c>
      <c r="B190" s="119">
        <f>IF($A183&lt;&gt;0,VLOOKUP($A183,Liste!$A$10:$W$59,19,FALSE),"")</f>
        <v>0</v>
      </c>
      <c r="C190" s="119">
        <f>IF($A183&lt;&gt;0,VLOOKUP($A183,Liste!$A$10:$W$59,19,FALSE),"")</f>
        <v>0</v>
      </c>
      <c r="F190" s="169"/>
      <c r="G190" s="169" t="s">
        <v>161</v>
      </c>
      <c r="H190" s="174" t="s">
        <v>160</v>
      </c>
      <c r="I190" s="167"/>
      <c r="J190" s="167"/>
      <c r="K190" s="167"/>
      <c r="L190" s="176"/>
    </row>
    <row r="191" spans="1:12" ht="13.8" thickBot="1" x14ac:dyDescent="0.3">
      <c r="A191" s="124" t="str">
        <f>IF($A183&lt;&gt;0,"Lot " &amp; VLOOKUP($A183,Liste!$A$10:$W$59,21,FALSE),"")</f>
        <v>Lot 87</v>
      </c>
      <c r="B191" s="123" t="str">
        <f>IF($A183&lt;&gt;0,VLOOKUP($A183,Liste!$A$10:$W$59,22,FALSE),"")</f>
        <v>Box</v>
      </c>
      <c r="C191" s="123">
        <f>IF($A183&lt;&gt;0,VLOOKUP($A183,Liste!$A$10:$W$59,23,FALSE),"")</f>
        <v>25</v>
      </c>
      <c r="D191" s="122"/>
      <c r="E191" s="122"/>
      <c r="F191" s="122"/>
      <c r="G191" s="226" t="str">
        <f>IF(OR(B184=0,VLOOKUP(A183,Liste!$A$10:'Liste'!$Z$59,26)&lt;&gt;""),"", "Voir autorisation messages électroniques")</f>
        <v/>
      </c>
      <c r="H191" s="226"/>
      <c r="I191" s="226"/>
      <c r="J191" s="122"/>
      <c r="K191" s="122"/>
      <c r="L191" s="128"/>
    </row>
    <row r="192" spans="1:12" ht="17.25" customHeight="1" x14ac:dyDescent="0.25">
      <c r="A192" s="120">
        <f>A183+1</f>
        <v>20</v>
      </c>
      <c r="B192" s="121"/>
      <c r="C192" s="82"/>
      <c r="D192" s="82"/>
      <c r="E192" s="82"/>
      <c r="F192" s="183"/>
      <c r="G192" s="181" t="s">
        <v>162</v>
      </c>
      <c r="H192" s="166"/>
      <c r="I192" s="166"/>
      <c r="J192" s="166"/>
      <c r="K192" s="166"/>
      <c r="L192" s="175"/>
    </row>
    <row r="193" spans="1:12" ht="18" thickBot="1" x14ac:dyDescent="0.35">
      <c r="A193" s="83" t="str">
        <f>IF($A192&lt;&gt;0,VLOOKUP($A192,Liste!$A$10:$W$59,3,FALSE),"")</f>
        <v>Monsieur</v>
      </c>
      <c r="B193" s="185" t="str">
        <f>IF($A192&lt;&gt;0,VLOOKUP($A192,Liste!$A$10:$W$59,4,FALSE),"")</f>
        <v>CARTON Louis</v>
      </c>
      <c r="E193" s="109">
        <f>IF($A192&lt;&gt;0,VLOOKUP($A192,Liste!$A$10:$W$59,8,FALSE),"")</f>
        <v>445</v>
      </c>
      <c r="F193" s="184"/>
      <c r="G193" s="182" t="s">
        <v>158</v>
      </c>
      <c r="H193" s="106"/>
      <c r="I193" s="106"/>
      <c r="J193" s="106"/>
      <c r="K193" s="106"/>
      <c r="L193" s="26"/>
    </row>
    <row r="194" spans="1:12" x14ac:dyDescent="0.25">
      <c r="A194" s="114" t="str">
        <f>IF($A192&lt;&gt;0,VLOOKUP($A192,Liste!$A$10:$W$59,5,FALSE),"")</f>
        <v>33 rue de l' Avenir</v>
      </c>
      <c r="F194" s="170"/>
      <c r="G194" s="171" t="s">
        <v>163</v>
      </c>
      <c r="H194" s="171"/>
      <c r="I194" s="171"/>
      <c r="J194" s="171"/>
      <c r="K194" s="171"/>
      <c r="L194" s="127"/>
    </row>
    <row r="195" spans="1:12" x14ac:dyDescent="0.25">
      <c r="A195" s="114">
        <f>IF($A192&lt;&gt;0,VLOOKUP($A192,Liste!$A$10:$W$59,6,FALSE),"")</f>
        <v>75016</v>
      </c>
      <c r="B195" s="107" t="str">
        <f>IF($A192&lt;&gt;0,VLOOKUP($A192,Liste!$A$10:$W$59,7,FALSE),"")</f>
        <v xml:space="preserve">Paris </v>
      </c>
      <c r="F195" s="172"/>
      <c r="G195" s="82"/>
      <c r="H195" s="82"/>
      <c r="I195" s="82"/>
      <c r="J195" s="82"/>
      <c r="K195" s="82"/>
      <c r="L195" s="89"/>
    </row>
    <row r="196" spans="1:12" x14ac:dyDescent="0.25">
      <c r="A196" s="115" t="str">
        <f xml:space="preserve"> IF($A192&lt;&gt;0, "Lot " &amp; VLOOKUP($A192,Liste!$A$10:$W$59,9,FALSE),"")</f>
        <v>Lot 21</v>
      </c>
      <c r="B196" s="111" t="str">
        <f>IF($A192&lt;&gt;0,VLOOKUP($A192,Liste!$A$10:$W$59,10,FALSE),"")</f>
        <v>Appart,</v>
      </c>
      <c r="C196" s="110">
        <f>IF($A192&lt;&gt;0,VLOOKUP($A192,Liste!$A$10:$W$59,11,FALSE),"")</f>
        <v>415</v>
      </c>
      <c r="F196" s="172"/>
      <c r="G196" s="82"/>
      <c r="H196" s="82"/>
      <c r="I196" s="82"/>
      <c r="J196" s="82"/>
      <c r="K196" s="82"/>
      <c r="L196" s="89"/>
    </row>
    <row r="197" spans="1:12" ht="13.8" thickBot="1" x14ac:dyDescent="0.3">
      <c r="A197" s="115" t="str">
        <f>IF($A192&lt;&gt;0,"Lot " &amp; VLOOKUP($A192,Liste!$A$10:$W$59,12,FALSE),"")</f>
        <v>Lot 46</v>
      </c>
      <c r="B197" s="111" t="str">
        <f>IF($A192&lt;&gt;0,VLOOKUP($A192,Liste!$A$10:$W$59,13,FALSE),"")</f>
        <v>Cave</v>
      </c>
      <c r="C197" s="110">
        <f>IF($A192&lt;&gt;0,VLOOKUP($A192,Liste!$A$10:$W$59,14,FALSE),"")</f>
        <v>20</v>
      </c>
      <c r="D197" s="111"/>
      <c r="E197" s="116"/>
      <c r="F197" s="173"/>
      <c r="G197" s="122"/>
      <c r="H197" s="122"/>
      <c r="I197" s="122"/>
      <c r="J197" s="122"/>
      <c r="K197" s="122"/>
      <c r="L197" s="128"/>
    </row>
    <row r="198" spans="1:12" x14ac:dyDescent="0.25">
      <c r="A198" s="125" t="str">
        <f>IF($A192&lt;&gt;0,"Lot " &amp; VLOOKUP($A192,Liste!$A$10:$W$59,15,FALSE),"")</f>
        <v>Lot 71</v>
      </c>
      <c r="B198" s="119" t="str">
        <f>IF($A192&lt;&gt;0,VLOOKUP($A192,Liste!$A$10:$W$59,16,FALSE),"")</f>
        <v>Parking</v>
      </c>
      <c r="C198" s="119">
        <f>IF($A192&lt;&gt;0,VLOOKUP($A192,Liste!$A$10:$W$59,17,FALSE),"")</f>
        <v>10</v>
      </c>
      <c r="D198" s="119"/>
      <c r="E198" s="125"/>
      <c r="F198" s="168"/>
      <c r="G198" s="168" t="s">
        <v>159</v>
      </c>
      <c r="H198" s="174" t="s">
        <v>160</v>
      </c>
      <c r="I198" s="84"/>
      <c r="J198" s="84"/>
      <c r="K198" s="84"/>
      <c r="L198" s="108"/>
    </row>
    <row r="199" spans="1:12" x14ac:dyDescent="0.25">
      <c r="A199" s="125" t="str">
        <f>IF($A192&lt;&gt;0,"Lot " &amp; VLOOKUP($A192,Liste!$A$10:$W$59,18,FALSE),"")</f>
        <v xml:space="preserve">Lot </v>
      </c>
      <c r="B199" s="119">
        <f>IF($A192&lt;&gt;0,VLOOKUP($A192,Liste!$A$10:$W$59,19,FALSE),"")</f>
        <v>0</v>
      </c>
      <c r="C199" s="119">
        <f>IF($A192&lt;&gt;0,VLOOKUP($A192,Liste!$A$10:$W$59,20,FALSE),"")</f>
        <v>0</v>
      </c>
      <c r="F199" s="169"/>
      <c r="G199" s="169" t="s">
        <v>161</v>
      </c>
      <c r="H199" s="174" t="s">
        <v>160</v>
      </c>
      <c r="I199" s="167"/>
      <c r="J199" s="167"/>
      <c r="K199" s="167"/>
      <c r="L199" s="176"/>
    </row>
    <row r="200" spans="1:12" ht="13.8" thickBot="1" x14ac:dyDescent="0.3">
      <c r="A200" s="124" t="str">
        <f>IF($A192&lt;&gt;0,"Lot " &amp; VLOOKUP($A192,Liste!$A$10:$W$59,21,FALSE),"")</f>
        <v xml:space="preserve">Lot </v>
      </c>
      <c r="B200" s="123">
        <f>IF($A192&lt;&gt;0,VLOOKUP($A192,Liste!$A$10:$W$59,22,FALSE),"")</f>
        <v>0</v>
      </c>
      <c r="C200" s="123">
        <f>IF($A192&lt;&gt;0,VLOOKUP($A192,Liste!$A$10:$W$59,23,FALSE),"")</f>
        <v>0</v>
      </c>
      <c r="D200" s="122"/>
      <c r="E200" s="122"/>
      <c r="F200" s="122"/>
      <c r="G200" s="226" t="str">
        <f>IF(OR(B193=0,VLOOKUP(A192,Liste!$A$10:'Liste'!$Z$59,26)&lt;&gt;""),"", "Voir autorisation messages électroniques")</f>
        <v/>
      </c>
      <c r="H200" s="226"/>
      <c r="I200" s="226"/>
      <c r="J200" s="122"/>
      <c r="K200" s="122"/>
      <c r="L200" s="128"/>
    </row>
    <row r="201" spans="1:12" ht="18.75" customHeight="1" x14ac:dyDescent="0.25">
      <c r="A201" s="120">
        <f>A192+1</f>
        <v>21</v>
      </c>
      <c r="B201" s="121"/>
      <c r="C201" s="82"/>
      <c r="D201" s="82"/>
      <c r="E201" s="82"/>
      <c r="F201" s="183"/>
      <c r="G201" s="181" t="s">
        <v>162</v>
      </c>
      <c r="H201" s="166"/>
      <c r="I201" s="166"/>
      <c r="J201" s="166"/>
      <c r="K201" s="166"/>
      <c r="L201" s="175"/>
    </row>
    <row r="202" spans="1:12" ht="18" thickBot="1" x14ac:dyDescent="0.35">
      <c r="A202" s="83" t="str">
        <f>IF($A201&lt;&gt;0,VLOOKUP($A201,Liste!$A$10:$W$59,3,FALSE),"")</f>
        <v>Mr  et Mme</v>
      </c>
      <c r="B202" s="185" t="str">
        <f>IF($A201&lt;&gt;0,VLOOKUP($A201,Liste!$A$10:$W$59,4,FALSE),"")</f>
        <v>DAGUILLON Jean-Pierre</v>
      </c>
      <c r="E202" s="109">
        <f>IF($A201&lt;&gt;0,VLOOKUP($A201,Liste!$A$10:$W$59,8,FALSE),"")</f>
        <v>400</v>
      </c>
      <c r="F202" s="184"/>
      <c r="G202" s="182" t="s">
        <v>158</v>
      </c>
      <c r="H202" s="106"/>
      <c r="I202" s="106"/>
      <c r="J202" s="106"/>
      <c r="K202" s="106"/>
      <c r="L202" s="26"/>
    </row>
    <row r="203" spans="1:12" x14ac:dyDescent="0.25">
      <c r="A203" s="114" t="str">
        <f>IF($A201&lt;&gt;0,VLOOKUP($A201,Liste!$A$10:$W$59,5,FALSE),"")</f>
        <v>13 rue du n,Paradis</v>
      </c>
      <c r="F203" s="170"/>
      <c r="G203" s="171" t="s">
        <v>163</v>
      </c>
      <c r="H203" s="171"/>
      <c r="I203" s="171"/>
      <c r="J203" s="171"/>
      <c r="K203" s="171"/>
      <c r="L203" s="127"/>
    </row>
    <row r="204" spans="1:12" x14ac:dyDescent="0.25">
      <c r="A204" s="114">
        <f>IF($A201&lt;&gt;0,VLOOKUP($A201,Liste!$A$10:$W$59,6,FALSE),"")</f>
        <v>75016</v>
      </c>
      <c r="B204" s="107" t="str">
        <f>IF($A201&lt;&gt;0,VLOOKUP($A201,Liste!$A$10:$W$59,7,FALSE),"")</f>
        <v xml:space="preserve">Paris </v>
      </c>
      <c r="F204" s="172"/>
      <c r="G204" s="82"/>
      <c r="H204" s="82"/>
      <c r="I204" s="82"/>
      <c r="J204" s="82"/>
      <c r="K204" s="82"/>
      <c r="L204" s="89"/>
    </row>
    <row r="205" spans="1:12" x14ac:dyDescent="0.25">
      <c r="A205" s="115" t="str">
        <f xml:space="preserve"> IF($A201&lt;&gt;0, "Lot " &amp; VLOOKUP($A201,Liste!$A$10:$W$59,9,FALSE),"")</f>
        <v>Lot 22</v>
      </c>
      <c r="B205" s="111" t="str">
        <f>IF($A201&lt;&gt;0,VLOOKUP($A201,Liste!$A$10:$W$59,10,FALSE),"")</f>
        <v>Appart,</v>
      </c>
      <c r="C205" s="110">
        <f>IF($A201&lt;&gt;0,VLOOKUP($A201,Liste!$A$10:$W$59,11,FALSE),"")</f>
        <v>340</v>
      </c>
      <c r="F205" s="172"/>
      <c r="G205" s="82"/>
      <c r="H205" s="82"/>
      <c r="I205" s="82"/>
      <c r="J205" s="82"/>
      <c r="K205" s="82"/>
      <c r="L205" s="89"/>
    </row>
    <row r="206" spans="1:12" ht="13.8" thickBot="1" x14ac:dyDescent="0.3">
      <c r="A206" s="115" t="str">
        <f>IF($A201&lt;&gt;0,"Lot " &amp; VLOOKUP($A201,Liste!$A$10:$W$59,12,FALSE),"")</f>
        <v>Lot 47</v>
      </c>
      <c r="B206" s="111" t="str">
        <f>IF($A201&lt;&gt;0,VLOOKUP($A201,Liste!$A$10:$W$59,13,FALSE),"")</f>
        <v>Cave</v>
      </c>
      <c r="C206" s="110">
        <f>IF($A201&lt;&gt;0,VLOOKUP($A201,Liste!$A$10:$W$59,14,FALSE),"")</f>
        <v>20</v>
      </c>
      <c r="D206" s="111"/>
      <c r="E206" s="116"/>
      <c r="F206" s="173"/>
      <c r="G206" s="122"/>
      <c r="H206" s="122"/>
      <c r="I206" s="122"/>
      <c r="J206" s="122"/>
      <c r="K206" s="122"/>
      <c r="L206" s="128"/>
    </row>
    <row r="207" spans="1:12" x14ac:dyDescent="0.25">
      <c r="A207" s="125" t="str">
        <f>IF($A201&lt;&gt;0,"Lot " &amp; VLOOKUP($A201,Liste!$A$10:$W$59,15,FALSE),"")</f>
        <v>Lot 72</v>
      </c>
      <c r="B207" s="119" t="str">
        <f>IF($A201&lt;&gt;0,VLOOKUP($A201,Liste!$A$10:$W$59,16,FALSE),"")</f>
        <v>Parking</v>
      </c>
      <c r="C207" s="119">
        <f>IF($A201&lt;&gt;0,VLOOKUP($A201,Liste!$A$10:$W$59,17,FALSE),"")</f>
        <v>10</v>
      </c>
      <c r="D207" s="119"/>
      <c r="E207" s="125"/>
      <c r="F207" s="168"/>
      <c r="G207" s="168" t="s">
        <v>159</v>
      </c>
      <c r="H207" s="174" t="s">
        <v>160</v>
      </c>
      <c r="I207" s="84"/>
      <c r="J207" s="84"/>
      <c r="K207" s="84"/>
      <c r="L207" s="108"/>
    </row>
    <row r="208" spans="1:12" x14ac:dyDescent="0.25">
      <c r="A208" s="125" t="str">
        <f>IF($A201&lt;&gt;0,"Lot " &amp; VLOOKUP($A201,Liste!$A$10:$W$59,18,FALSE),"")</f>
        <v>Lot 79</v>
      </c>
      <c r="B208" s="119" t="str">
        <f>IF($A201&lt;&gt;0,VLOOKUP($A201,Liste!$A$10:$W$59,19,FALSE),"")</f>
        <v>Garage</v>
      </c>
      <c r="C208" s="119">
        <f>IF($A201&lt;&gt;0,VLOOKUP($A201,Liste!$A$10:$W$59,20,FALSE),"")</f>
        <v>30</v>
      </c>
      <c r="F208" s="169"/>
      <c r="G208" s="169" t="s">
        <v>161</v>
      </c>
      <c r="H208" s="174" t="s">
        <v>160</v>
      </c>
      <c r="I208" s="167"/>
      <c r="J208" s="167"/>
      <c r="K208" s="167"/>
      <c r="L208" s="176"/>
    </row>
    <row r="209" spans="1:12" ht="13.8" thickBot="1" x14ac:dyDescent="0.3">
      <c r="A209" s="124" t="str">
        <f>IF($A201&lt;&gt;0,"Lot " &amp; VLOOKUP($A201,Liste!$A$10:$W$59,21,FALSE),"")</f>
        <v xml:space="preserve">Lot </v>
      </c>
      <c r="B209" s="123">
        <f>IF($A201&lt;&gt;0,VLOOKUP($A201,Liste!$A$10:$W$59,22,FALSE),"")</f>
        <v>0</v>
      </c>
      <c r="C209" s="123">
        <f>IF($A201&lt;&gt;0,VLOOKUP($A201,Liste!$A$10:$W$59,23,FALSE),"")</f>
        <v>0</v>
      </c>
      <c r="D209" s="122"/>
      <c r="E209" s="122"/>
      <c r="F209" s="122"/>
      <c r="G209" s="226" t="str">
        <f>IF(OR(B202=0,VLOOKUP(A201,Liste!$A$10:'Liste'!$Z$59,26)&lt;&gt;""),"", "Voir autorisation messages électroniques")</f>
        <v>Voir autorisation messages électroniques</v>
      </c>
      <c r="H209" s="226"/>
      <c r="I209" s="226"/>
      <c r="J209" s="122"/>
      <c r="K209" s="122"/>
      <c r="L209" s="128"/>
    </row>
    <row r="210" spans="1:12" ht="19.5" customHeight="1" x14ac:dyDescent="0.25">
      <c r="A210" s="120">
        <f>A201+1</f>
        <v>22</v>
      </c>
      <c r="B210" s="121"/>
      <c r="C210" s="82"/>
      <c r="D210" s="82"/>
      <c r="E210" s="82"/>
      <c r="F210" s="183"/>
      <c r="G210" s="181" t="s">
        <v>162</v>
      </c>
      <c r="H210" s="166"/>
      <c r="I210" s="166"/>
      <c r="J210" s="166"/>
      <c r="K210" s="166"/>
      <c r="L210" s="175"/>
    </row>
    <row r="211" spans="1:12" ht="21.6" thickBot="1" x14ac:dyDescent="0.45">
      <c r="A211" s="83" t="str">
        <f>IF($A210&lt;&gt;0,VLOOKUP($A210,Liste!$A$10:$W$59,3,FALSE),"")</f>
        <v>Mr  et Mme</v>
      </c>
      <c r="B211" s="186" t="str">
        <f>IF($A210&lt;&gt;0,VLOOKUP($A210,Liste!$A$10:$W$59,4,FALSE),"")</f>
        <v>FARDIN Sébastin</v>
      </c>
      <c r="E211" s="109">
        <f>IF($A210&lt;&gt;0,VLOOKUP($A210,Liste!$A$10:$W$59,8,FALSE),"")</f>
        <v>380</v>
      </c>
      <c r="F211" s="184"/>
      <c r="G211" s="182" t="s">
        <v>158</v>
      </c>
      <c r="H211" s="106"/>
      <c r="I211" s="106"/>
      <c r="J211" s="106"/>
      <c r="K211" s="106"/>
      <c r="L211" s="26"/>
    </row>
    <row r="212" spans="1:12" x14ac:dyDescent="0.25">
      <c r="A212" s="114" t="str">
        <f>IF($A210&lt;&gt;0,VLOOKUP($A210,Liste!$A$10:$W$59,5,FALSE),"")</f>
        <v>13 rue de Marseille</v>
      </c>
      <c r="F212" s="170"/>
      <c r="G212" s="171" t="s">
        <v>163</v>
      </c>
      <c r="H212" s="171"/>
      <c r="I212" s="171"/>
      <c r="J212" s="171"/>
      <c r="K212" s="171"/>
      <c r="L212" s="127"/>
    </row>
    <row r="213" spans="1:12" x14ac:dyDescent="0.25">
      <c r="A213" s="114">
        <f>IF($A210&lt;&gt;0,VLOOKUP($A210,Liste!$A$10:$W$59,6,FALSE),"")</f>
        <v>75016</v>
      </c>
      <c r="B213" s="107" t="str">
        <f>IF($A210&lt;&gt;0,VLOOKUP($A210,Liste!$A$10:$W$59,7,FALSE),"")</f>
        <v xml:space="preserve">Paris </v>
      </c>
      <c r="F213" s="172"/>
      <c r="G213" s="82"/>
      <c r="H213" s="82"/>
      <c r="I213" s="82"/>
      <c r="J213" s="82"/>
      <c r="K213" s="82"/>
      <c r="L213" s="89"/>
    </row>
    <row r="214" spans="1:12" x14ac:dyDescent="0.25">
      <c r="A214" s="115" t="str">
        <f xml:space="preserve"> IF($A210&lt;&gt;0, "Lot " &amp; VLOOKUP($A210,Liste!$A$10:$W$59,9,FALSE),"")</f>
        <v>Lot 23</v>
      </c>
      <c r="B214" s="111" t="str">
        <f>IF($A210&lt;&gt;0,VLOOKUP($A210,Liste!$A$10:$W$59,10,FALSE),"")</f>
        <v>Appart,</v>
      </c>
      <c r="C214" s="110">
        <f>IF($A210&lt;&gt;0,VLOOKUP($A210,Liste!$A$10:$W$59,11,FALSE),"")</f>
        <v>325</v>
      </c>
      <c r="F214" s="172"/>
      <c r="G214" s="82"/>
      <c r="H214" s="82"/>
      <c r="I214" s="82"/>
      <c r="J214" s="82"/>
      <c r="K214" s="82"/>
      <c r="L214" s="89"/>
    </row>
    <row r="215" spans="1:12" ht="13.8" thickBot="1" x14ac:dyDescent="0.3">
      <c r="A215" s="115" t="str">
        <f>IF($A210&lt;&gt;0,"Lot " &amp; VLOOKUP($A210,Liste!$A$10:$W$59,12,FALSE),"")</f>
        <v>Lot 48</v>
      </c>
      <c r="B215" s="111" t="str">
        <f>IF($A210&lt;&gt;0,VLOOKUP($A210,Liste!$A$10:$W$59,13,FALSE),"")</f>
        <v>Cave</v>
      </c>
      <c r="C215" s="110">
        <f>IF($A210&lt;&gt;0,VLOOKUP($A210,Liste!$A$10:$W$59,14,FALSE),"")</f>
        <v>20</v>
      </c>
      <c r="D215" s="111"/>
      <c r="E215" s="116"/>
      <c r="F215" s="173"/>
      <c r="G215" s="122"/>
      <c r="H215" s="122"/>
      <c r="I215" s="122"/>
      <c r="J215" s="122"/>
      <c r="K215" s="122"/>
      <c r="L215" s="128"/>
    </row>
    <row r="216" spans="1:12" x14ac:dyDescent="0.25">
      <c r="A216" s="125" t="str">
        <f>IF($A210&lt;&gt;0,"Lot " &amp; VLOOKUP($A210,Liste!$A$10:$W$59,15,FALSE),"")</f>
        <v>Lot 73</v>
      </c>
      <c r="B216" s="119" t="str">
        <f>IF($A210&lt;&gt;0,VLOOKUP($A210,Liste!$A$10:$W$59,16,FALSE),"")</f>
        <v>Parking</v>
      </c>
      <c r="C216" s="119">
        <f>IF($A210&lt;&gt;0,VLOOKUP($A210,Liste!$A$10:$W$59,17,FALSE),"")</f>
        <v>10</v>
      </c>
      <c r="D216" s="119"/>
      <c r="E216" s="125"/>
      <c r="F216" s="168"/>
      <c r="G216" s="168" t="s">
        <v>159</v>
      </c>
      <c r="H216" s="174" t="s">
        <v>160</v>
      </c>
      <c r="I216" s="84"/>
      <c r="J216" s="84"/>
      <c r="K216" s="84"/>
      <c r="L216" s="108"/>
    </row>
    <row r="217" spans="1:12" x14ac:dyDescent="0.25">
      <c r="A217" s="125" t="str">
        <f>IF($A210&lt;&gt;0,"Lot " &amp; VLOOKUP($A210,Liste!$A$10:$W$59,18,FALSE),"")</f>
        <v xml:space="preserve">Lot </v>
      </c>
      <c r="B217" s="119">
        <f>IF($A210&lt;&gt;0,VLOOKUP($A210,Liste!$A$10:$W$59,19,FALSE),"")</f>
        <v>0</v>
      </c>
      <c r="C217" s="119">
        <f>IF($A210&lt;&gt;0,VLOOKUP($A210,Liste!$A$10:$W$59,20,FALSE),"")</f>
        <v>0</v>
      </c>
      <c r="F217" s="169"/>
      <c r="G217" s="169" t="s">
        <v>161</v>
      </c>
      <c r="H217" s="174" t="s">
        <v>160</v>
      </c>
      <c r="I217" s="167"/>
      <c r="J217" s="167"/>
      <c r="K217" s="167"/>
      <c r="L217" s="176"/>
    </row>
    <row r="218" spans="1:12" ht="13.8" thickBot="1" x14ac:dyDescent="0.3">
      <c r="A218" s="124" t="str">
        <f>IF($A210&lt;&gt;0,"Lot " &amp; VLOOKUP($A210,Liste!$A$10:$W$59,21,FALSE),"")</f>
        <v>Lot 88</v>
      </c>
      <c r="B218" s="123" t="str">
        <f>IF($A210&lt;&gt;0,VLOOKUP($A210,Liste!$A$10:$W$59,22,FALSE),"")</f>
        <v>Box</v>
      </c>
      <c r="C218" s="123">
        <f>IF($A210&lt;&gt;0,VLOOKUP($A210,Liste!$A$10:$W$59,23,FALSE),"")</f>
        <v>25</v>
      </c>
      <c r="D218" s="122"/>
      <c r="E218" s="122"/>
      <c r="F218" s="122"/>
      <c r="G218" s="226" t="str">
        <f>IF(OR(B211=0,VLOOKUP(A210,Liste!$A$10:'Liste'!$Z$59,26)&lt;&gt;""),"", "Voir autorisation messages électroniques")</f>
        <v>Voir autorisation messages électroniques</v>
      </c>
      <c r="H218" s="226"/>
      <c r="I218" s="226"/>
      <c r="J218" s="122"/>
      <c r="K218" s="122"/>
      <c r="L218" s="128"/>
    </row>
    <row r="219" spans="1:12" ht="18" customHeight="1" x14ac:dyDescent="0.25">
      <c r="A219" s="120">
        <f>A210+1</f>
        <v>23</v>
      </c>
      <c r="B219" s="121"/>
      <c r="C219" s="82"/>
      <c r="D219" s="82"/>
      <c r="E219" s="82"/>
      <c r="F219" s="183"/>
      <c r="G219" s="181" t="s">
        <v>162</v>
      </c>
      <c r="H219" s="166"/>
      <c r="I219" s="166"/>
      <c r="J219" s="166"/>
      <c r="K219" s="166"/>
      <c r="L219" s="175"/>
    </row>
    <row r="220" spans="1:12" ht="18" thickBot="1" x14ac:dyDescent="0.35">
      <c r="A220" s="83" t="str">
        <f>IF($A219&lt;&gt;0,VLOOKUP($A219,Liste!$A$10:$W$59,3,FALSE),"")</f>
        <v>Madame</v>
      </c>
      <c r="B220" s="185" t="str">
        <f>IF($A219&lt;&gt;0,VLOOKUP($A219,Liste!$A$10:$W$59,4,FALSE),"")</f>
        <v>SEBARDIN Suzanne</v>
      </c>
      <c r="E220" s="109">
        <f>IF($A219&lt;&gt;0,VLOOKUP($A219,Liste!$A$10:$W$59,8,FALSE),"")</f>
        <v>390</v>
      </c>
      <c r="F220" s="184"/>
      <c r="G220" s="182" t="s">
        <v>158</v>
      </c>
      <c r="H220" s="106"/>
      <c r="I220" s="106"/>
      <c r="J220" s="106"/>
      <c r="K220" s="106"/>
      <c r="L220" s="26"/>
    </row>
    <row r="221" spans="1:12" x14ac:dyDescent="0.25">
      <c r="A221" s="114" t="str">
        <f>IF($A219&lt;&gt;0,VLOOKUP($A219,Liste!$A$10:$W$59,5,FALSE),"")</f>
        <v>47 rue de Nantes</v>
      </c>
      <c r="F221" s="170"/>
      <c r="G221" s="171" t="s">
        <v>163</v>
      </c>
      <c r="H221" s="171"/>
      <c r="I221" s="171"/>
      <c r="J221" s="171"/>
      <c r="K221" s="171"/>
      <c r="L221" s="127"/>
    </row>
    <row r="222" spans="1:12" x14ac:dyDescent="0.25">
      <c r="A222" s="114">
        <f>IF($A219&lt;&gt;0,VLOOKUP($A219,Liste!$A$10:$W$59,6,FALSE),"")</f>
        <v>75016</v>
      </c>
      <c r="B222" s="107" t="str">
        <f>IF($A219&lt;&gt;0,VLOOKUP($A219,Liste!$A$10:$W$59,7,FALSE),"")</f>
        <v xml:space="preserve">Paris </v>
      </c>
      <c r="F222" s="172"/>
      <c r="G222" s="82"/>
      <c r="H222" s="82"/>
      <c r="I222" s="82"/>
      <c r="J222" s="82"/>
      <c r="K222" s="82"/>
      <c r="L222" s="89"/>
    </row>
    <row r="223" spans="1:12" x14ac:dyDescent="0.25">
      <c r="A223" s="115" t="str">
        <f xml:space="preserve"> IF($A219&lt;&gt;0, "Lot " &amp; VLOOKUP($A219,Liste!$A$10:$W$59,9,FALSE),"")</f>
        <v>Lot 24</v>
      </c>
      <c r="B223" s="111" t="str">
        <f>IF($A219&lt;&gt;0,VLOOKUP($A219,Liste!$A$10:$W$59,10,FALSE),"")</f>
        <v>Appart,</v>
      </c>
      <c r="C223" s="110">
        <f>IF($A219&lt;&gt;0,VLOOKUP($A219,Liste!$A$10:$W$59,11,FALSE),"")</f>
        <v>335</v>
      </c>
      <c r="F223" s="172"/>
      <c r="G223" s="82"/>
      <c r="H223" s="82"/>
      <c r="I223" s="82"/>
      <c r="J223" s="82"/>
      <c r="K223" s="82"/>
      <c r="L223" s="89"/>
    </row>
    <row r="224" spans="1:12" ht="13.8" thickBot="1" x14ac:dyDescent="0.3">
      <c r="A224" s="115" t="str">
        <f>IF($A219&lt;&gt;0,"Lot " &amp; VLOOKUP($A219,Liste!$A$10:$W$59,12,FALSE),"")</f>
        <v>Lot 49</v>
      </c>
      <c r="B224" s="111" t="str">
        <f>IF($A219&lt;&gt;0,VLOOKUP($A219,Liste!$A$10:$W$59,13,FALSE),"")</f>
        <v>Cave</v>
      </c>
      <c r="C224" s="110">
        <f>IF($A219&lt;&gt;0,VLOOKUP($A219,Liste!$A$10:$W$59,14,FALSE),"")</f>
        <v>20</v>
      </c>
      <c r="D224" s="111"/>
      <c r="E224" s="116"/>
      <c r="F224" s="173"/>
      <c r="G224" s="122"/>
      <c r="H224" s="122"/>
      <c r="I224" s="122"/>
      <c r="J224" s="122"/>
      <c r="K224" s="122"/>
      <c r="L224" s="128"/>
    </row>
    <row r="225" spans="1:12" x14ac:dyDescent="0.25">
      <c r="A225" s="125" t="str">
        <f>IF($A219&lt;&gt;0,"Lot " &amp; VLOOKUP($A219,Liste!$A$10:$W$59,15,FALSE),"")</f>
        <v>Lot 74</v>
      </c>
      <c r="B225" s="119" t="str">
        <f>IF($A219&lt;&gt;0,VLOOKUP($A219,Liste!$A$10:$W$59,16,FALSE),"")</f>
        <v>Parking</v>
      </c>
      <c r="C225" s="119">
        <f>IF($A219&lt;&gt;0,VLOOKUP($A219,Liste!$A$10:$W$59,17,FALSE),"")</f>
        <v>10</v>
      </c>
      <c r="D225" s="119"/>
      <c r="E225" s="125"/>
      <c r="F225" s="168"/>
      <c r="G225" s="168" t="s">
        <v>159</v>
      </c>
      <c r="H225" s="174" t="s">
        <v>160</v>
      </c>
      <c r="I225" s="84"/>
      <c r="J225" s="84"/>
      <c r="K225" s="84"/>
      <c r="L225" s="108"/>
    </row>
    <row r="226" spans="1:12" x14ac:dyDescent="0.25">
      <c r="A226" s="125" t="str">
        <f>IF($A219&lt;&gt;0,"Lot " &amp; VLOOKUP($A219,Liste!$A$10:$W$59,18,FALSE),"")</f>
        <v xml:space="preserve">Lot </v>
      </c>
      <c r="B226" s="119">
        <f>IF($A219&lt;&gt;0,VLOOKUP($A219,Liste!$A$10:$W$59,19,FALSE),"")</f>
        <v>0</v>
      </c>
      <c r="C226" s="119">
        <f>IF($A219&lt;&gt;0,VLOOKUP($A219,Liste!$A$10:$W$59,20,FALSE),"")</f>
        <v>0</v>
      </c>
      <c r="F226" s="169"/>
      <c r="G226" s="169" t="s">
        <v>161</v>
      </c>
      <c r="H226" s="174" t="s">
        <v>160</v>
      </c>
      <c r="I226" s="167"/>
      <c r="J226" s="167"/>
      <c r="K226" s="167"/>
      <c r="L226" s="176"/>
    </row>
    <row r="227" spans="1:12" ht="13.8" thickBot="1" x14ac:dyDescent="0.3">
      <c r="A227" s="124" t="str">
        <f>IF($A219&lt;&gt;0,"Lot " &amp; VLOOKUP($A219,Liste!$A$10:$W$59,21,FALSE),"")</f>
        <v>Lot 89</v>
      </c>
      <c r="B227" s="123" t="str">
        <f>IF($A219&lt;&gt;0,VLOOKUP($A219,Liste!$A$10:$W$59,22,FALSE),"")</f>
        <v>Box</v>
      </c>
      <c r="C227" s="123">
        <f>IF($A219&lt;&gt;0,VLOOKUP($A219,Liste!$A$10:$W$59,23,FALSE),"")</f>
        <v>25</v>
      </c>
      <c r="D227" s="122"/>
      <c r="E227" s="122"/>
      <c r="F227" s="122"/>
      <c r="G227" s="226" t="str">
        <f>IF(OR(B220=0,VLOOKUP(A219,Liste!$A$10:'Liste'!$Z$59,26)&lt;&gt;""),"", "Voir autorisation messages électroniques")</f>
        <v>Voir autorisation messages électroniques</v>
      </c>
      <c r="H227" s="226"/>
      <c r="I227" s="226"/>
      <c r="J227" s="122"/>
      <c r="K227" s="122"/>
      <c r="L227" s="128"/>
    </row>
    <row r="228" spans="1:12" ht="18" customHeight="1" x14ac:dyDescent="0.25">
      <c r="A228" s="120">
        <f>A219+1</f>
        <v>24</v>
      </c>
      <c r="B228" s="121"/>
      <c r="C228" s="82"/>
      <c r="D228" s="82"/>
      <c r="E228" s="82"/>
      <c r="F228" s="183"/>
      <c r="G228" s="181" t="s">
        <v>162</v>
      </c>
      <c r="H228" s="166"/>
      <c r="I228" s="166"/>
      <c r="J228" s="166"/>
      <c r="K228" s="166"/>
      <c r="L228" s="175"/>
    </row>
    <row r="229" spans="1:12" ht="18" thickBot="1" x14ac:dyDescent="0.35">
      <c r="A229" s="83" t="str">
        <f>IF($A228&lt;&gt;0,VLOOKUP($A228,Liste!$A$10:$W$59,3,FALSE),"")</f>
        <v>Madame</v>
      </c>
      <c r="B229" s="134" t="str">
        <f>IF($A228&lt;&gt;0,VLOOKUP($A228,Liste!$A$10:$W$59,4,FALSE),"")</f>
        <v>AUBERT Pierre</v>
      </c>
      <c r="E229" s="109">
        <f>IF($A228&lt;&gt;0,VLOOKUP($A228,Liste!$A$10:$W$59,8,FALSE),"")</f>
        <v>315</v>
      </c>
      <c r="F229" s="184"/>
      <c r="G229" s="182" t="s">
        <v>158</v>
      </c>
      <c r="H229" s="106"/>
      <c r="I229" s="106"/>
      <c r="J229" s="106"/>
      <c r="K229" s="106"/>
      <c r="L229" s="26"/>
    </row>
    <row r="230" spans="1:12" x14ac:dyDescent="0.25">
      <c r="A230" s="114" t="str">
        <f>IF($A228&lt;&gt;0,VLOOKUP($A228,Liste!$A$10:$W$59,5,FALSE),"")</f>
        <v>17 rue de l' espoir</v>
      </c>
      <c r="F230" s="170"/>
      <c r="G230" s="171" t="s">
        <v>163</v>
      </c>
      <c r="H230" s="171"/>
      <c r="I230" s="171"/>
      <c r="J230" s="171"/>
      <c r="K230" s="171"/>
      <c r="L230" s="127"/>
    </row>
    <row r="231" spans="1:12" x14ac:dyDescent="0.25">
      <c r="A231" s="114">
        <f>IF($A228&lt;&gt;0,VLOOKUP($A228,Liste!$A$10:$W$59,6,FALSE),"")</f>
        <v>75016</v>
      </c>
      <c r="B231" s="107" t="str">
        <f>IF($A228&lt;&gt;0,VLOOKUP($A228,Liste!$A$10:$W$59,7,FALSE),"")</f>
        <v xml:space="preserve">Paris </v>
      </c>
      <c r="F231" s="172"/>
      <c r="G231" s="82"/>
      <c r="H231" s="82"/>
      <c r="I231" s="82"/>
      <c r="J231" s="82"/>
      <c r="K231" s="82"/>
      <c r="L231" s="89"/>
    </row>
    <row r="232" spans="1:12" x14ac:dyDescent="0.25">
      <c r="A232" s="115" t="str">
        <f xml:space="preserve"> IF($A228&lt;&gt;0, "Lot " &amp; VLOOKUP($A228,Liste!$A$10:$W$59,9,FALSE),"")</f>
        <v>Lot 16</v>
      </c>
      <c r="B232" s="111" t="str">
        <f>IF($A228&lt;&gt;0,VLOOKUP($A228,Liste!$A$10:$W$59,10,FALSE),"")</f>
        <v>Appart,</v>
      </c>
      <c r="C232" s="110">
        <f>IF($A228&lt;&gt;0,VLOOKUP($A228,Liste!$A$10:$W$59,11,FALSE),"")</f>
        <v>285</v>
      </c>
      <c r="F232" s="172"/>
      <c r="G232" s="82"/>
      <c r="H232" s="82"/>
      <c r="I232" s="82"/>
      <c r="J232" s="82"/>
      <c r="K232" s="82"/>
      <c r="L232" s="89"/>
    </row>
    <row r="233" spans="1:12" ht="13.8" thickBot="1" x14ac:dyDescent="0.3">
      <c r="A233" s="115" t="str">
        <f>IF($A228&lt;&gt;0,"Lot " &amp; VLOOKUP($A228,Liste!$A$10:$W$59,12,FALSE),"")</f>
        <v>Lot 41</v>
      </c>
      <c r="B233" s="111" t="str">
        <f>IF($A228&lt;&gt;0,VLOOKUP($A228,Liste!$A$10:$W$59,13,FALSE),"")</f>
        <v>Cave</v>
      </c>
      <c r="C233" s="110">
        <f>IF($A228&lt;&gt;0,VLOOKUP($A228,Liste!$A$10:$W$59,14,FALSE),"")</f>
        <v>20</v>
      </c>
      <c r="D233" s="111"/>
      <c r="E233" s="116"/>
      <c r="F233" s="173"/>
      <c r="G233" s="122"/>
      <c r="H233" s="122"/>
      <c r="I233" s="122"/>
      <c r="J233" s="122"/>
      <c r="K233" s="122"/>
      <c r="L233" s="128"/>
    </row>
    <row r="234" spans="1:12" x14ac:dyDescent="0.25">
      <c r="A234" s="125" t="str">
        <f>IF($A228&lt;&gt;0,"Lot " &amp; VLOOKUP($A228,Liste!$A$10:$W$59,15,FALSE),"")</f>
        <v>Lot 66</v>
      </c>
      <c r="B234" s="119" t="str">
        <f>IF($A228&lt;&gt;0,VLOOKUP($A228,Liste!$A$10:$W$59,16,FALSE),"")</f>
        <v>Parking</v>
      </c>
      <c r="C234" s="119">
        <f>IF($A228&lt;&gt;0,VLOOKUP($A228,Liste!$A$10:$W$59,17,FALSE),"")</f>
        <v>10</v>
      </c>
      <c r="D234" s="119"/>
      <c r="E234" s="125"/>
      <c r="F234" s="168"/>
      <c r="G234" s="168" t="s">
        <v>159</v>
      </c>
      <c r="H234" s="174" t="s">
        <v>160</v>
      </c>
      <c r="I234" s="84"/>
      <c r="J234" s="84"/>
      <c r="K234" s="84"/>
      <c r="L234" s="108"/>
    </row>
    <row r="235" spans="1:12" x14ac:dyDescent="0.25">
      <c r="A235" s="125" t="str">
        <f>IF($A228&lt;&gt;0,"Lot " &amp; VLOOKUP($A228,Liste!$A$10:$W$59,18,FALSE),"")</f>
        <v xml:space="preserve">Lot </v>
      </c>
      <c r="B235" s="119">
        <f>IF($A228&lt;&gt;0,VLOOKUP($A228,Liste!$A$10:$W$59,19,FALSE),"")</f>
        <v>0</v>
      </c>
      <c r="C235" s="119">
        <f>IF($A228&lt;&gt;0,VLOOKUP($A228,Liste!$A$10:$W$59,20,FALSE),"")</f>
        <v>0</v>
      </c>
      <c r="F235" s="169"/>
      <c r="G235" s="169" t="s">
        <v>161</v>
      </c>
      <c r="H235" s="174" t="s">
        <v>160</v>
      </c>
      <c r="I235" s="167"/>
      <c r="J235" s="167"/>
      <c r="K235" s="167"/>
      <c r="L235" s="176"/>
    </row>
    <row r="236" spans="1:12" ht="13.8" thickBot="1" x14ac:dyDescent="0.3">
      <c r="A236" s="124" t="str">
        <f>IF($A228&lt;&gt;0,"Lot " &amp; VLOOKUP($A228,Liste!$A$10:$W$59,21,FALSE),"")</f>
        <v xml:space="preserve">Lot </v>
      </c>
      <c r="B236" s="123">
        <f>IF($A228&lt;&gt;0,VLOOKUP($A228,Liste!$A$10:$W$59,22,FALSE),"")</f>
        <v>0</v>
      </c>
      <c r="C236" s="123">
        <f>IF($A228&lt;&gt;0,VLOOKUP($A228,Liste!$A$10:$W$59,23,FALSE),"")</f>
        <v>0</v>
      </c>
      <c r="D236" s="122"/>
      <c r="E236" s="122"/>
      <c r="F236" s="122"/>
      <c r="G236" s="226" t="str">
        <f>IF(OR(B229=0,VLOOKUP(A228,Liste!$A$10:'Liste'!$Z$59,26)&lt;&gt;""),"", "Voir autorisation messages électroniques")</f>
        <v>Voir autorisation messages électroniques</v>
      </c>
      <c r="H236" s="226"/>
      <c r="I236" s="226"/>
      <c r="J236" s="122"/>
      <c r="K236" s="122"/>
      <c r="L236" s="128"/>
    </row>
    <row r="237" spans="1:12" x14ac:dyDescent="0.25">
      <c r="L237" s="82"/>
    </row>
    <row r="238" spans="1:12" ht="17.399999999999999" x14ac:dyDescent="0.3">
      <c r="D238" s="112" t="s">
        <v>93</v>
      </c>
      <c r="E238" s="112"/>
      <c r="F238" s="112"/>
      <c r="K238" s="133" t="s">
        <v>98</v>
      </c>
      <c r="L238" s="177">
        <f>L179+1</f>
        <v>5</v>
      </c>
    </row>
    <row r="239" spans="1:12" x14ac:dyDescent="0.25">
      <c r="E239" s="133" t="s">
        <v>114</v>
      </c>
      <c r="F239" s="133"/>
      <c r="G239" s="152">
        <f>IF(A242&gt;0,Liste!$C$1,"")</f>
        <v>44084</v>
      </c>
    </row>
    <row r="240" spans="1:12" x14ac:dyDescent="0.25">
      <c r="D240" t="str">
        <f>IF(A242&gt;0,Liste!$C$3&amp;"; "&amp;Liste!$C$4&amp;" "&amp;Liste!$C$5,"""")</f>
        <v>Résidence Le Paradis; Rue de l' espoir 75016 PARIS</v>
      </c>
      <c r="E240" s="152"/>
      <c r="F240" s="152"/>
      <c r="G240" s="152"/>
    </row>
    <row r="241" spans="1:12" ht="13.8" thickBot="1" x14ac:dyDescent="0.3">
      <c r="A241" s="84"/>
      <c r="B241" s="84"/>
      <c r="C241" s="84"/>
      <c r="D241" s="84"/>
      <c r="E241" s="84"/>
      <c r="F241" s="84"/>
      <c r="G241" s="84"/>
    </row>
    <row r="242" spans="1:12" ht="18" customHeight="1" x14ac:dyDescent="0.25">
      <c r="A242" s="120">
        <f>IF(A228&lt;Liste!$D$2,A228+1,"")</f>
        <v>25</v>
      </c>
      <c r="B242" s="121"/>
      <c r="C242" s="82"/>
      <c r="D242" s="82"/>
      <c r="E242" s="82"/>
      <c r="F242" s="183"/>
      <c r="G242" s="181" t="s">
        <v>162</v>
      </c>
      <c r="H242" s="166"/>
      <c r="I242" s="166"/>
      <c r="J242" s="166"/>
      <c r="K242" s="166"/>
      <c r="L242" s="175"/>
    </row>
    <row r="243" spans="1:12" ht="18" thickBot="1" x14ac:dyDescent="0.35">
      <c r="A243" s="83" t="str">
        <f>IF($A242&lt;&gt;0,VLOOKUP($A242,Liste!$A$10:$W$59,3,FALSE),"")</f>
        <v>Monsieur</v>
      </c>
      <c r="B243" s="185" t="str">
        <f>IF($A242&lt;&gt;0,VLOOKUP($A242,Liste!$A$10:$W$59,4,FALSE),"")</f>
        <v>WEBER Jean Pierre</v>
      </c>
      <c r="E243" s="109">
        <f>IF($A242&lt;&gt;0,VLOOKUP($A242,Liste!$A$10:$W$59,8,FALSE),"")</f>
        <v>480</v>
      </c>
      <c r="F243" s="184"/>
      <c r="G243" s="182" t="s">
        <v>158</v>
      </c>
      <c r="H243" s="106"/>
      <c r="I243" s="106"/>
      <c r="J243" s="106"/>
      <c r="K243" s="106"/>
      <c r="L243" s="26"/>
    </row>
    <row r="244" spans="1:12" x14ac:dyDescent="0.25">
      <c r="A244" s="114" t="str">
        <f>IF($A242&lt;&gt;0,VLOOKUP($A242,Liste!$A$10:$W$59,5,FALSE),"")</f>
        <v>17 rue de l' espoir</v>
      </c>
      <c r="F244" s="170"/>
      <c r="G244" s="171" t="s">
        <v>163</v>
      </c>
      <c r="H244" s="171"/>
      <c r="I244" s="171"/>
      <c r="J244" s="171"/>
      <c r="K244" s="171"/>
      <c r="L244" s="127"/>
    </row>
    <row r="245" spans="1:12" x14ac:dyDescent="0.25">
      <c r="A245" s="114">
        <f>IF($A242&lt;&gt;0,VLOOKUP($A242,Liste!$A$10:$W$59,6,FALSE),"")</f>
        <v>75016</v>
      </c>
      <c r="B245" s="107" t="str">
        <f>IF($A242&lt;&gt;0,VLOOKUP($A242,Liste!$A$10:$W$59,7,FALSE),"")</f>
        <v xml:space="preserve">Paris </v>
      </c>
      <c r="F245" s="172"/>
      <c r="G245" s="82"/>
      <c r="H245" s="82"/>
      <c r="I245" s="82"/>
      <c r="J245" s="82"/>
      <c r="K245" s="82"/>
      <c r="L245" s="89"/>
    </row>
    <row r="246" spans="1:12" x14ac:dyDescent="0.25">
      <c r="A246" s="115" t="str">
        <f xml:space="preserve"> IF($A242&lt;&gt;0, "Lot " &amp; VLOOKUP($A242,Liste!$A$10:$W$59,9,FALSE),"")</f>
        <v>Lot 25</v>
      </c>
      <c r="B246" s="111" t="str">
        <f>IF($A242&lt;&gt;0,VLOOKUP($A242,Liste!$A$10:$W$59,10,FALSE),"")</f>
        <v>Appart,</v>
      </c>
      <c r="C246" s="110">
        <f>IF($A242&lt;&gt;0,VLOOKUP($A242,Liste!$A$10:$W$59,11,FALSE),"")</f>
        <v>425</v>
      </c>
      <c r="F246" s="172"/>
      <c r="G246" s="82"/>
      <c r="H246" s="82"/>
      <c r="I246" s="82"/>
      <c r="J246" s="82"/>
      <c r="K246" s="82"/>
      <c r="L246" s="89"/>
    </row>
    <row r="247" spans="1:12" ht="13.8" thickBot="1" x14ac:dyDescent="0.3">
      <c r="A247" s="115" t="str">
        <f>IF($A242&lt;&gt;0,"Lot " &amp; VLOOKUP($A242,Liste!$A$10:$W$59,12,FALSE),"")</f>
        <v>Lot 50</v>
      </c>
      <c r="B247" s="111" t="str">
        <f>IF($A242&lt;&gt;0,VLOOKUP($A242,Liste!$A$10:$W$59,13,FALSE),"")</f>
        <v>Cave</v>
      </c>
      <c r="C247" s="110">
        <f>IF($A242&lt;&gt;0,VLOOKUP($A242,Liste!$A$10:$W$59,14,FALSE),"")</f>
        <v>20</v>
      </c>
      <c r="D247" s="111"/>
      <c r="E247" s="116"/>
      <c r="F247" s="173"/>
      <c r="G247" s="122"/>
      <c r="H247" s="122"/>
      <c r="I247" s="122"/>
      <c r="J247" s="122"/>
      <c r="K247" s="122"/>
      <c r="L247" s="128"/>
    </row>
    <row r="248" spans="1:12" x14ac:dyDescent="0.25">
      <c r="A248" s="125" t="str">
        <f>IF($A242&lt;&gt;0,"Lot " &amp; VLOOKUP($A242,Liste!$A$10:$W$59,15,FALSE),"")</f>
        <v>Lot 75</v>
      </c>
      <c r="B248" s="119" t="str">
        <f>IF($A242&lt;&gt;0,VLOOKUP($A242,Liste!$A$10:$W$59,16,FALSE),"")</f>
        <v>Parking</v>
      </c>
      <c r="C248" s="119">
        <f>IF($A242&lt;&gt;0,VLOOKUP($A242,Liste!$A$10:$W$59,17,FALSE),"")</f>
        <v>10</v>
      </c>
      <c r="D248" s="119"/>
      <c r="E248" s="125"/>
      <c r="F248" s="168"/>
      <c r="G248" s="168" t="s">
        <v>159</v>
      </c>
      <c r="H248" s="174" t="s">
        <v>160</v>
      </c>
      <c r="I248" s="84"/>
      <c r="J248" s="84"/>
      <c r="K248" s="84"/>
      <c r="L248" s="108"/>
    </row>
    <row r="249" spans="1:12" x14ac:dyDescent="0.25">
      <c r="A249" s="125" t="str">
        <f>IF($A242&lt;&gt;0,"Lot " &amp; VLOOKUP($A242,Liste!$A$10:$W$59,18,FALSE),"")</f>
        <v xml:space="preserve">Lot </v>
      </c>
      <c r="B249" s="119">
        <f>IF($A242&lt;&gt;0,VLOOKUP($A242,Liste!$A$10:$W$59,19,FALSE),"")</f>
        <v>0</v>
      </c>
      <c r="C249" s="119">
        <f>IF($A242&lt;&gt;0,VLOOKUP($A242,Liste!$A$10:$W$59,19,FALSE),"")</f>
        <v>0</v>
      </c>
      <c r="F249" s="169"/>
      <c r="G249" s="169" t="s">
        <v>161</v>
      </c>
      <c r="H249" s="174" t="s">
        <v>160</v>
      </c>
      <c r="I249" s="167"/>
      <c r="J249" s="167"/>
      <c r="K249" s="167"/>
      <c r="L249" s="176"/>
    </row>
    <row r="250" spans="1:12" ht="13.8" thickBot="1" x14ac:dyDescent="0.3">
      <c r="A250" s="124" t="str">
        <f>IF($A242&lt;&gt;0,"Lot " &amp; VLOOKUP($A242,Liste!$A$10:$W$59,21,FALSE),"")</f>
        <v>Lot 90</v>
      </c>
      <c r="B250" s="123" t="str">
        <f>IF($A242&lt;&gt;0,VLOOKUP($A242,Liste!$A$10:$W$59,22,FALSE),"")</f>
        <v>Box</v>
      </c>
      <c r="C250" s="123">
        <f>IF($A242&lt;&gt;0,VLOOKUP($A242,Liste!$A$10:$W$59,23,FALSE),"")</f>
        <v>25</v>
      </c>
      <c r="D250" s="122"/>
      <c r="E250" s="122"/>
      <c r="F250" s="122"/>
      <c r="G250" s="226" t="str">
        <f>IF(OR(B243=0,VLOOKUP(A242,Liste!$A$10:'Liste'!$Z$59,26)&lt;&gt;""),"", "Voir autorisation messages électroniques")</f>
        <v/>
      </c>
      <c r="H250" s="226"/>
      <c r="I250" s="226"/>
      <c r="J250" s="122"/>
      <c r="K250" s="122"/>
      <c r="L250" s="128"/>
    </row>
    <row r="251" spans="1:12" ht="16.5" customHeight="1" x14ac:dyDescent="0.25">
      <c r="A251" s="120">
        <f>IF(A242&lt;Liste!$D$2,A242+1,"")</f>
        <v>26</v>
      </c>
      <c r="B251" s="121"/>
      <c r="C251" s="82"/>
      <c r="D251" s="82"/>
      <c r="E251" s="82"/>
      <c r="F251" s="183"/>
      <c r="G251" s="181" t="s">
        <v>162</v>
      </c>
      <c r="H251" s="166"/>
      <c r="I251" s="166"/>
      <c r="J251" s="166"/>
      <c r="K251" s="166"/>
      <c r="L251" s="175"/>
    </row>
    <row r="252" spans="1:12" ht="18" thickBot="1" x14ac:dyDescent="0.35">
      <c r="A252" s="83">
        <f>IF($A251&lt;&gt;0,VLOOKUP($A251,Liste!$A$10:$W$59,3,FALSE),"")</f>
        <v>0</v>
      </c>
      <c r="B252" s="185">
        <f>IF($A251&lt;&gt;0,VLOOKUP($A251,Liste!$A$10:$W$59,4,FALSE),"")</f>
        <v>0</v>
      </c>
      <c r="E252" s="109" t="str">
        <f>IF($A251&lt;&gt;0,VLOOKUP($A251,Liste!$A$10:$W$59,8,FALSE),"")</f>
        <v/>
      </c>
      <c r="F252" s="184"/>
      <c r="G252" s="182" t="s">
        <v>158</v>
      </c>
      <c r="H252" s="106"/>
      <c r="I252" s="106"/>
      <c r="J252" s="106"/>
      <c r="K252" s="106"/>
      <c r="L252" s="26"/>
    </row>
    <row r="253" spans="1:12" x14ac:dyDescent="0.25">
      <c r="A253" s="114">
        <f>IF($A251&lt;&gt;0,VLOOKUP($A251,Liste!$A$10:$W$59,5,FALSE),"")</f>
        <v>0</v>
      </c>
      <c r="F253" s="170"/>
      <c r="G253" s="171" t="s">
        <v>163</v>
      </c>
      <c r="H253" s="171"/>
      <c r="I253" s="171"/>
      <c r="J253" s="171"/>
      <c r="K253" s="171"/>
      <c r="L253" s="127"/>
    </row>
    <row r="254" spans="1:12" x14ac:dyDescent="0.25">
      <c r="A254" s="114">
        <f>IF($A251&lt;&gt;0,VLOOKUP($A251,Liste!$A$10:$W$59,6,FALSE),"")</f>
        <v>0</v>
      </c>
      <c r="B254" s="107">
        <f>IF($A251&lt;&gt;0,VLOOKUP($A251,Liste!$A$10:$W$59,7,FALSE),"")</f>
        <v>0</v>
      </c>
      <c r="F254" s="172"/>
      <c r="G254" s="82"/>
      <c r="H254" s="82"/>
      <c r="I254" s="82"/>
      <c r="J254" s="82"/>
      <c r="K254" s="82"/>
      <c r="L254" s="89"/>
    </row>
    <row r="255" spans="1:12" x14ac:dyDescent="0.25">
      <c r="A255" s="115" t="str">
        <f xml:space="preserve"> IF($A251&lt;&gt;0, "Lot " &amp; VLOOKUP($A251,Liste!$A$10:$W$59,9,FALSE),"")</f>
        <v xml:space="preserve">Lot </v>
      </c>
      <c r="B255" s="111">
        <f>IF($A251&lt;&gt;0,VLOOKUP($A251,Liste!$A$10:$W$59,10,FALSE),"")</f>
        <v>0</v>
      </c>
      <c r="C255" s="110">
        <f>IF($A251&lt;&gt;0,VLOOKUP($A251,Liste!$A$10:$W$59,11,FALSE),"")</f>
        <v>0</v>
      </c>
      <c r="F255" s="172"/>
      <c r="G255" s="82"/>
      <c r="H255" s="82"/>
      <c r="I255" s="82"/>
      <c r="J255" s="82"/>
      <c r="K255" s="82"/>
      <c r="L255" s="89"/>
    </row>
    <row r="256" spans="1:12" ht="13.8" thickBot="1" x14ac:dyDescent="0.3">
      <c r="A256" s="115" t="str">
        <f>IF($A251&lt;&gt;0,"Lot " &amp; VLOOKUP($A251,Liste!$A$10:$W$59,12,FALSE),"")</f>
        <v xml:space="preserve">Lot </v>
      </c>
      <c r="B256" s="111">
        <f>IF($A251&lt;&gt;0,VLOOKUP($A251,Liste!$A$10:$W$59,13,FALSE),"")</f>
        <v>0</v>
      </c>
      <c r="C256" s="110">
        <f>IF($A251&lt;&gt;0,VLOOKUP($A251,Liste!$A$10:$W$59,14,FALSE),"")</f>
        <v>0</v>
      </c>
      <c r="D256" s="111"/>
      <c r="E256" s="116"/>
      <c r="F256" s="173"/>
      <c r="G256" s="122"/>
      <c r="H256" s="122"/>
      <c r="I256" s="122"/>
      <c r="J256" s="122"/>
      <c r="K256" s="122"/>
      <c r="L256" s="128"/>
    </row>
    <row r="257" spans="1:12" x14ac:dyDescent="0.25">
      <c r="A257" s="125" t="str">
        <f>IF($A251&lt;&gt;0,"Lot " &amp; VLOOKUP($A251,Liste!$A$10:$W$59,15,FALSE),"")</f>
        <v xml:space="preserve">Lot </v>
      </c>
      <c r="B257" s="119">
        <f>IF($A251&lt;&gt;0,VLOOKUP($A251,Liste!$A$10:$W$59,16,FALSE),"")</f>
        <v>0</v>
      </c>
      <c r="C257" s="119">
        <f>IF($A251&lt;&gt;0,VLOOKUP($A251,Liste!$A$10:$W$59,17,FALSE),"")</f>
        <v>0</v>
      </c>
      <c r="D257" s="119"/>
      <c r="E257" s="125"/>
      <c r="F257" s="168"/>
      <c r="G257" s="168" t="s">
        <v>159</v>
      </c>
      <c r="H257" s="174" t="s">
        <v>160</v>
      </c>
      <c r="I257" s="84"/>
      <c r="J257" s="84"/>
      <c r="K257" s="84"/>
      <c r="L257" s="108"/>
    </row>
    <row r="258" spans="1:12" x14ac:dyDescent="0.25">
      <c r="A258" s="125" t="str">
        <f>IF($A251&lt;&gt;0,"Lot " &amp; VLOOKUP($A251,Liste!$A$10:$W$59,18,FALSE),"")</f>
        <v xml:space="preserve">Lot </v>
      </c>
      <c r="B258" s="119">
        <f>IF($A251&lt;&gt;0,VLOOKUP($A251,Liste!$A$10:$W$59,19,FALSE),"")</f>
        <v>0</v>
      </c>
      <c r="C258" s="119">
        <f>IF($A251&lt;&gt;0,VLOOKUP($A251,Liste!$A$10:$W$59,19,FALSE),"")</f>
        <v>0</v>
      </c>
      <c r="F258" s="169"/>
      <c r="G258" s="169" t="s">
        <v>161</v>
      </c>
      <c r="H258" s="174" t="s">
        <v>160</v>
      </c>
      <c r="I258" s="167"/>
      <c r="J258" s="167"/>
      <c r="K258" s="167"/>
      <c r="L258" s="176"/>
    </row>
    <row r="259" spans="1:12" ht="13.8" thickBot="1" x14ac:dyDescent="0.3">
      <c r="A259" s="124" t="str">
        <f>IF($A251&lt;&gt;0,"Lot " &amp; VLOOKUP($A251,Liste!$A$10:$W$59,21,FALSE),"")</f>
        <v xml:space="preserve">Lot </v>
      </c>
      <c r="B259" s="123">
        <f>IF($A251&lt;&gt;0,VLOOKUP($A251,Liste!$A$10:$W$59,22,FALSE),"")</f>
        <v>0</v>
      </c>
      <c r="C259" s="123">
        <f>IF($A251&lt;&gt;0,VLOOKUP($A251,Liste!$A$10:$W$59,23,FALSE),"")</f>
        <v>0</v>
      </c>
      <c r="D259" s="122"/>
      <c r="E259" s="122"/>
      <c r="F259" s="122"/>
      <c r="G259" s="226" t="str">
        <f>IF(OR(B252=0,VLOOKUP(A251,Liste!$A$10:'Liste'!$Z$59,26)&lt;&gt;""),"", "Voir autorisation messages électroniques")</f>
        <v/>
      </c>
      <c r="H259" s="226"/>
      <c r="I259" s="226"/>
      <c r="J259" s="122"/>
      <c r="K259" s="122"/>
      <c r="L259" s="128"/>
    </row>
    <row r="260" spans="1:12" ht="16.5" customHeight="1" x14ac:dyDescent="0.25">
      <c r="A260" s="120">
        <f>IF(A251&lt;Liste!$D$2,A251+1,"")</f>
        <v>27</v>
      </c>
      <c r="B260" s="121"/>
      <c r="C260" s="82"/>
      <c r="D260" s="82"/>
      <c r="E260" s="82"/>
      <c r="F260" s="183"/>
      <c r="G260" s="181" t="s">
        <v>162</v>
      </c>
      <c r="H260" s="166"/>
      <c r="I260" s="166"/>
      <c r="J260" s="166"/>
      <c r="K260" s="166"/>
      <c r="L260" s="175"/>
    </row>
    <row r="261" spans="1:12" ht="18" thickBot="1" x14ac:dyDescent="0.35">
      <c r="A261" s="83">
        <f>IF($A260&lt;&gt;0,VLOOKUP($A260,Liste!$A$10:$W$59,3,FALSE),"")</f>
        <v>0</v>
      </c>
      <c r="B261" s="185">
        <f>IF($A260&lt;&gt;0,VLOOKUP($A260,Liste!$A$10:$W$59,4,FALSE),"")</f>
        <v>0</v>
      </c>
      <c r="E261" s="109" t="str">
        <f>IF($A260&lt;&gt;0,VLOOKUP($A260,Liste!$A$10:$W$59,8,FALSE),"")</f>
        <v/>
      </c>
      <c r="F261" s="184"/>
      <c r="G261" s="182" t="s">
        <v>158</v>
      </c>
      <c r="H261" s="106"/>
      <c r="I261" s="106"/>
      <c r="J261" s="106"/>
      <c r="K261" s="106"/>
      <c r="L261" s="26"/>
    </row>
    <row r="262" spans="1:12" x14ac:dyDescent="0.25">
      <c r="A262" s="114">
        <f>IF($A260&lt;&gt;0,VLOOKUP($A260,Liste!$A$10:$W$59,5,FALSE),"")</f>
        <v>0</v>
      </c>
      <c r="F262" s="170"/>
      <c r="G262" s="171" t="s">
        <v>163</v>
      </c>
      <c r="H262" s="171"/>
      <c r="I262" s="171"/>
      <c r="J262" s="171"/>
      <c r="K262" s="171"/>
      <c r="L262" s="127"/>
    </row>
    <row r="263" spans="1:12" x14ac:dyDescent="0.25">
      <c r="A263" s="114">
        <f>IF($A260&lt;&gt;0,VLOOKUP($A260,Liste!$A$10:$W$59,6,FALSE),"")</f>
        <v>0</v>
      </c>
      <c r="B263" s="107">
        <f>IF($A260&lt;&gt;0,VLOOKUP($A260,Liste!$A$10:$W$59,7,FALSE),"")</f>
        <v>0</v>
      </c>
      <c r="F263" s="172"/>
      <c r="G263" s="82"/>
      <c r="H263" s="82"/>
      <c r="I263" s="82"/>
      <c r="J263" s="82"/>
      <c r="K263" s="82"/>
      <c r="L263" s="89"/>
    </row>
    <row r="264" spans="1:12" x14ac:dyDescent="0.25">
      <c r="A264" s="115" t="str">
        <f xml:space="preserve"> IF($A260&lt;&gt;0, "Lot " &amp; VLOOKUP($A260,Liste!$A$10:$W$59,9,FALSE),"")</f>
        <v xml:space="preserve">Lot </v>
      </c>
      <c r="B264" s="111">
        <f>IF($A260&lt;&gt;0,VLOOKUP($A260,Liste!$A$10:$W$59,10,FALSE),"")</f>
        <v>0</v>
      </c>
      <c r="C264" s="110">
        <f>IF($A260&lt;&gt;0,VLOOKUP($A260,Liste!$A$10:$W$59,11,FALSE),"")</f>
        <v>0</v>
      </c>
      <c r="F264" s="172"/>
      <c r="G264" s="82"/>
      <c r="H264" s="82"/>
      <c r="I264" s="82"/>
      <c r="J264" s="82"/>
      <c r="K264" s="82"/>
      <c r="L264" s="89"/>
    </row>
    <row r="265" spans="1:12" ht="13.8" thickBot="1" x14ac:dyDescent="0.3">
      <c r="A265" s="115" t="str">
        <f>IF($A260&lt;&gt;0,"Lot " &amp; VLOOKUP($A260,Liste!$A$10:$W$59,12,FALSE),"")</f>
        <v xml:space="preserve">Lot </v>
      </c>
      <c r="B265" s="111">
        <f>IF($A260&lt;&gt;0,VLOOKUP($A260,Liste!$A$10:$W$59,13,FALSE),"")</f>
        <v>0</v>
      </c>
      <c r="C265" s="110">
        <f>IF($A260&lt;&gt;0,VLOOKUP($A260,Liste!$A$10:$W$59,14,FALSE),"")</f>
        <v>0</v>
      </c>
      <c r="D265" s="111"/>
      <c r="E265" s="116"/>
      <c r="F265" s="173"/>
      <c r="G265" s="122"/>
      <c r="H265" s="122"/>
      <c r="I265" s="122"/>
      <c r="J265" s="122"/>
      <c r="K265" s="122"/>
      <c r="L265" s="128"/>
    </row>
    <row r="266" spans="1:12" x14ac:dyDescent="0.25">
      <c r="A266" s="125" t="str">
        <f>IF($A260&lt;&gt;0,"Lot " &amp; VLOOKUP($A260,Liste!$A$10:$W$59,15,FALSE),"")</f>
        <v xml:space="preserve">Lot </v>
      </c>
      <c r="B266" s="119">
        <f>IF($A260&lt;&gt;0,VLOOKUP($A260,Liste!$A$10:$W$59,16,FALSE),"")</f>
        <v>0</v>
      </c>
      <c r="C266" s="119">
        <f>IF($A260&lt;&gt;0,VLOOKUP($A260,Liste!$A$10:$W$59,17,FALSE),"")</f>
        <v>0</v>
      </c>
      <c r="D266" s="119"/>
      <c r="E266" s="125"/>
      <c r="F266" s="168"/>
      <c r="G266" s="168" t="s">
        <v>159</v>
      </c>
      <c r="H266" s="174" t="s">
        <v>160</v>
      </c>
      <c r="I266" s="84"/>
      <c r="J266" s="84"/>
      <c r="K266" s="84"/>
      <c r="L266" s="108"/>
    </row>
    <row r="267" spans="1:12" x14ac:dyDescent="0.25">
      <c r="A267" s="125" t="str">
        <f>IF($A260&lt;&gt;0,"Lot " &amp; VLOOKUP($A260,Liste!$A$10:$W$59,18,FALSE),"")</f>
        <v xml:space="preserve">Lot </v>
      </c>
      <c r="B267" s="119">
        <f>IF($A260&lt;&gt;0,VLOOKUP($A260,Liste!$A$10:$W$59,19,FALSE),"")</f>
        <v>0</v>
      </c>
      <c r="C267" s="119">
        <f>IF($A260&lt;&gt;0,VLOOKUP($A260,Liste!$A$10:$W$59,19,FALSE),"")</f>
        <v>0</v>
      </c>
      <c r="F267" s="169"/>
      <c r="G267" s="169" t="s">
        <v>161</v>
      </c>
      <c r="H267" s="174" t="s">
        <v>160</v>
      </c>
      <c r="I267" s="167"/>
      <c r="J267" s="167"/>
      <c r="K267" s="167"/>
      <c r="L267" s="176"/>
    </row>
    <row r="268" spans="1:12" ht="13.8" thickBot="1" x14ac:dyDescent="0.3">
      <c r="A268" s="124" t="str">
        <f>IF($A260&lt;&gt;0,"Lot " &amp; VLOOKUP($A260,Liste!$A$10:$W$59,21,FALSE),"")</f>
        <v xml:space="preserve">Lot </v>
      </c>
      <c r="B268" s="123">
        <f>IF($A260&lt;&gt;0,VLOOKUP($A260,Liste!$A$10:$W$59,22,FALSE),"")</f>
        <v>0</v>
      </c>
      <c r="C268" s="123">
        <f>IF($A260&lt;&gt;0,VLOOKUP($A260,Liste!$A$10:$W$59,23,FALSE),"")</f>
        <v>0</v>
      </c>
      <c r="D268" s="122"/>
      <c r="E268" s="122"/>
      <c r="F268" s="122"/>
      <c r="G268" s="226" t="str">
        <f>IF(OR(B261=0,VLOOKUP(A260,Liste!$A$10:'Liste'!$Z$59,26)&lt;&gt;""),"", "Voir autorisation messages électroniques")</f>
        <v/>
      </c>
      <c r="H268" s="226"/>
      <c r="I268" s="226"/>
      <c r="J268" s="122"/>
      <c r="K268" s="122"/>
      <c r="L268" s="128"/>
    </row>
    <row r="269" spans="1:12" ht="18" customHeight="1" x14ac:dyDescent="0.25">
      <c r="A269" s="120">
        <f>IF(A260&lt;Liste!$D$2,A260+1,"")</f>
        <v>28</v>
      </c>
      <c r="B269" s="121"/>
      <c r="C269" s="82"/>
      <c r="D269" s="82"/>
      <c r="E269" s="82"/>
      <c r="F269" s="183"/>
      <c r="G269" s="181" t="s">
        <v>162</v>
      </c>
      <c r="H269" s="166"/>
      <c r="I269" s="166"/>
      <c r="J269" s="166"/>
      <c r="K269" s="166"/>
      <c r="L269" s="175"/>
    </row>
    <row r="270" spans="1:12" ht="18" thickBot="1" x14ac:dyDescent="0.35">
      <c r="A270" s="83">
        <f>IF($A269&lt;&gt;0,VLOOKUP($A269,Liste!$A$10:$W$59,3,FALSE),"")</f>
        <v>0</v>
      </c>
      <c r="B270" s="185">
        <f>IF($A269&lt;&gt;0,VLOOKUP($A269,Liste!$A$10:$W$59,4,FALSE),"")</f>
        <v>0</v>
      </c>
      <c r="E270" s="109" t="str">
        <f>IF($A269&lt;&gt;0,VLOOKUP($A269,Liste!$A$10:$W$59,8,FALSE),"")</f>
        <v/>
      </c>
      <c r="F270" s="184"/>
      <c r="G270" s="182" t="s">
        <v>158</v>
      </c>
      <c r="H270" s="106"/>
      <c r="I270" s="106"/>
      <c r="J270" s="106"/>
      <c r="K270" s="106"/>
      <c r="L270" s="26"/>
    </row>
    <row r="271" spans="1:12" x14ac:dyDescent="0.25">
      <c r="A271" s="114">
        <f>IF($A269&lt;&gt;0,VLOOKUP($A269,Liste!$A$10:$W$59,5,FALSE),"")</f>
        <v>0</v>
      </c>
      <c r="F271" s="170"/>
      <c r="G271" s="171" t="s">
        <v>163</v>
      </c>
      <c r="H271" s="171"/>
      <c r="I271" s="171"/>
      <c r="J271" s="171"/>
      <c r="K271" s="171"/>
      <c r="L271" s="127"/>
    </row>
    <row r="272" spans="1:12" x14ac:dyDescent="0.25">
      <c r="A272" s="114">
        <f>IF($A269&lt;&gt;0,VLOOKUP($A269,Liste!$A$10:$W$59,6,FALSE),"")</f>
        <v>0</v>
      </c>
      <c r="B272" s="107">
        <f>IF($A269&lt;&gt;0,VLOOKUP($A269,Liste!$A$10:$W$59,7,FALSE),"")</f>
        <v>0</v>
      </c>
      <c r="F272" s="172"/>
      <c r="G272" s="82"/>
      <c r="H272" s="82"/>
      <c r="I272" s="82"/>
      <c r="J272" s="82"/>
      <c r="K272" s="82"/>
      <c r="L272" s="89"/>
    </row>
    <row r="273" spans="1:12" x14ac:dyDescent="0.25">
      <c r="A273" s="115" t="str">
        <f xml:space="preserve"> IF($A269&lt;&gt;0, "Lot " &amp; VLOOKUP($A269,Liste!$A$10:$W$59,9,FALSE),"")</f>
        <v xml:space="preserve">Lot </v>
      </c>
      <c r="B273" s="111">
        <f>IF($A269&lt;&gt;0,VLOOKUP($A269,Liste!$A$10:$W$59,10,FALSE),"")</f>
        <v>0</v>
      </c>
      <c r="C273" s="110">
        <f>IF($A269&lt;&gt;0,VLOOKUP($A269,Liste!$A$10:$W$59,11,FALSE),"")</f>
        <v>0</v>
      </c>
      <c r="F273" s="172"/>
      <c r="G273" s="82"/>
      <c r="H273" s="82"/>
      <c r="I273" s="82"/>
      <c r="J273" s="82"/>
      <c r="K273" s="82"/>
      <c r="L273" s="89"/>
    </row>
    <row r="274" spans="1:12" ht="13.8" thickBot="1" x14ac:dyDescent="0.3">
      <c r="A274" s="115" t="str">
        <f>IF($A269&lt;&gt;0,"Lot " &amp; VLOOKUP($A269,Liste!$A$10:$W$59,12,FALSE),"")</f>
        <v xml:space="preserve">Lot </v>
      </c>
      <c r="B274" s="111">
        <f>IF($A269&lt;&gt;0,VLOOKUP($A269,Liste!$A$10:$W$59,13,FALSE),"")</f>
        <v>0</v>
      </c>
      <c r="C274" s="110">
        <f>IF($A269&lt;&gt;0,VLOOKUP($A269,Liste!$A$10:$W$59,14,FALSE),"")</f>
        <v>0</v>
      </c>
      <c r="D274" s="111"/>
      <c r="E274" s="116"/>
      <c r="F274" s="173"/>
      <c r="G274" s="122"/>
      <c r="H274" s="122"/>
      <c r="I274" s="122"/>
      <c r="J274" s="122"/>
      <c r="K274" s="122"/>
      <c r="L274" s="128"/>
    </row>
    <row r="275" spans="1:12" x14ac:dyDescent="0.25">
      <c r="A275" s="125" t="str">
        <f>IF($A269&lt;&gt;0,"Lot " &amp; VLOOKUP($A269,Liste!$A$10:$W$59,15,FALSE),"")</f>
        <v xml:space="preserve">Lot </v>
      </c>
      <c r="B275" s="119">
        <f>IF($A269&lt;&gt;0,VLOOKUP($A269,Liste!$A$10:$W$59,16,FALSE),"")</f>
        <v>0</v>
      </c>
      <c r="C275" s="119">
        <f>IF($A269&lt;&gt;0,VLOOKUP($A269,Liste!$A$10:$W$59,17,FALSE),"")</f>
        <v>0</v>
      </c>
      <c r="D275" s="119"/>
      <c r="E275" s="125"/>
      <c r="F275" s="168"/>
      <c r="G275" s="168" t="s">
        <v>159</v>
      </c>
      <c r="H275" s="174" t="s">
        <v>160</v>
      </c>
      <c r="I275" s="84"/>
      <c r="J275" s="84"/>
      <c r="K275" s="84"/>
      <c r="L275" s="108"/>
    </row>
    <row r="276" spans="1:12" x14ac:dyDescent="0.25">
      <c r="A276" s="125" t="str">
        <f>IF($A269&lt;&gt;0,"Lot " &amp; VLOOKUP($A269,Liste!$A$10:$W$59,18,FALSE),"")</f>
        <v xml:space="preserve">Lot </v>
      </c>
      <c r="B276" s="119">
        <f>IF($A269&lt;&gt;0,VLOOKUP($A269,Liste!$A$10:$W$59,19,FALSE),"")</f>
        <v>0</v>
      </c>
      <c r="C276" s="119">
        <f>IF($A269&lt;&gt;0,VLOOKUP($A269,Liste!$A$10:$W$59,19,FALSE),"")</f>
        <v>0</v>
      </c>
      <c r="F276" s="169"/>
      <c r="G276" s="169" t="s">
        <v>161</v>
      </c>
      <c r="H276" s="174" t="s">
        <v>160</v>
      </c>
      <c r="I276" s="167"/>
      <c r="J276" s="167"/>
      <c r="K276" s="167"/>
      <c r="L276" s="176"/>
    </row>
    <row r="277" spans="1:12" ht="13.8" thickBot="1" x14ac:dyDescent="0.3">
      <c r="A277" s="124" t="str">
        <f>IF($A269&lt;&gt;0,"Lot " &amp; VLOOKUP($A269,Liste!$A$10:$W$59,21,FALSE),"")</f>
        <v xml:space="preserve">Lot </v>
      </c>
      <c r="B277" s="123">
        <f>IF($A269&lt;&gt;0,VLOOKUP($A269,Liste!$A$10:$W$59,22,FALSE),"")</f>
        <v>0</v>
      </c>
      <c r="C277" s="123">
        <f>IF($A269&lt;&gt;0,VLOOKUP($A269,Liste!$A$10:$W$59,23,FALSE),"")</f>
        <v>0</v>
      </c>
      <c r="D277" s="122"/>
      <c r="E277" s="122"/>
      <c r="F277" s="122"/>
      <c r="G277" s="226" t="str">
        <f>IF(OR(B270=0,VLOOKUP(A269,Liste!$A$10:'Liste'!$Z$59,26)&lt;&gt;""),"", "Voir autorisation messages électroniques")</f>
        <v/>
      </c>
      <c r="H277" s="226"/>
      <c r="I277" s="226"/>
      <c r="J277" s="122"/>
      <c r="K277" s="122"/>
      <c r="L277" s="128"/>
    </row>
    <row r="278" spans="1:12" ht="19.5" customHeight="1" x14ac:dyDescent="0.25">
      <c r="A278" s="120">
        <f>IF(A269&lt;Liste!$D$2,A269+1,"")</f>
        <v>29</v>
      </c>
      <c r="B278" s="121"/>
      <c r="C278" s="82"/>
      <c r="D278" s="82"/>
      <c r="E278" s="82"/>
      <c r="F278" s="183"/>
      <c r="G278" s="181" t="s">
        <v>162</v>
      </c>
      <c r="H278" s="166"/>
      <c r="I278" s="166"/>
      <c r="J278" s="166"/>
      <c r="K278" s="166"/>
      <c r="L278" s="175"/>
    </row>
    <row r="279" spans="1:12" ht="18" thickBot="1" x14ac:dyDescent="0.35">
      <c r="A279" s="83">
        <f>IF($A278&lt;&gt;0,VLOOKUP($A278,Liste!$A$10:$W$59,3,FALSE),"")</f>
        <v>0</v>
      </c>
      <c r="B279" s="185">
        <f>IF($A278&lt;&gt;0,VLOOKUP($A278,Liste!$A$10:$W$59,4,FALSE),"")</f>
        <v>0</v>
      </c>
      <c r="E279" s="109" t="str">
        <f>IF($A278&lt;&gt;0,VLOOKUP($A278,Liste!$A$10:$W$59,8,FALSE),"")</f>
        <v/>
      </c>
      <c r="F279" s="184"/>
      <c r="G279" s="182" t="s">
        <v>158</v>
      </c>
      <c r="H279" s="106"/>
      <c r="I279" s="106"/>
      <c r="J279" s="106"/>
      <c r="K279" s="106"/>
      <c r="L279" s="26"/>
    </row>
    <row r="280" spans="1:12" x14ac:dyDescent="0.25">
      <c r="A280" s="114">
        <f>IF($A278&lt;&gt;0,VLOOKUP($A278,Liste!$A$10:$W$59,5,FALSE),"")</f>
        <v>0</v>
      </c>
      <c r="F280" s="170"/>
      <c r="G280" s="171" t="s">
        <v>163</v>
      </c>
      <c r="H280" s="171"/>
      <c r="I280" s="171"/>
      <c r="J280" s="171"/>
      <c r="K280" s="171"/>
      <c r="L280" s="127"/>
    </row>
    <row r="281" spans="1:12" x14ac:dyDescent="0.25">
      <c r="A281" s="114">
        <f>IF($A278&lt;&gt;0,VLOOKUP($A278,Liste!$A$10:$W$59,6,FALSE),"")</f>
        <v>0</v>
      </c>
      <c r="B281" s="107">
        <f>IF($A278&lt;&gt;0,VLOOKUP($A278,Liste!$A$10:$W$59,7,FALSE),"")</f>
        <v>0</v>
      </c>
      <c r="F281" s="172"/>
      <c r="G281" s="82"/>
      <c r="H281" s="82"/>
      <c r="I281" s="82"/>
      <c r="J281" s="82"/>
      <c r="K281" s="82"/>
      <c r="L281" s="89"/>
    </row>
    <row r="282" spans="1:12" x14ac:dyDescent="0.25">
      <c r="A282" s="115" t="str">
        <f xml:space="preserve"> IF($A278&lt;&gt;0, "Lot " &amp; VLOOKUP($A278,Liste!$A$10:$W$59,9,FALSE),"")</f>
        <v xml:space="preserve">Lot </v>
      </c>
      <c r="B282" s="111">
        <f>IF($A278&lt;&gt;0,VLOOKUP($A278,Liste!$A$10:$W$59,10,FALSE),"")</f>
        <v>0</v>
      </c>
      <c r="C282" s="110">
        <f>IF($A278&lt;&gt;0,VLOOKUP($A278,Liste!$A$10:$W$59,11,FALSE),"")</f>
        <v>0</v>
      </c>
      <c r="F282" s="172"/>
      <c r="G282" s="82"/>
      <c r="H282" s="82"/>
      <c r="I282" s="82"/>
      <c r="J282" s="82"/>
      <c r="K282" s="82"/>
      <c r="L282" s="89"/>
    </row>
    <row r="283" spans="1:12" ht="13.8" thickBot="1" x14ac:dyDescent="0.3">
      <c r="A283" s="115" t="str">
        <f>IF($A278&lt;&gt;0,"Lot " &amp; VLOOKUP($A278,Liste!$A$10:$W$59,12,FALSE),"")</f>
        <v xml:space="preserve">Lot </v>
      </c>
      <c r="B283" s="111">
        <f>IF($A278&lt;&gt;0,VLOOKUP($A278,Liste!$A$10:$W$59,13,FALSE),"")</f>
        <v>0</v>
      </c>
      <c r="C283" s="110">
        <f>IF($A278&lt;&gt;0,VLOOKUP($A278,Liste!$A$10:$W$59,14,FALSE),"")</f>
        <v>0</v>
      </c>
      <c r="D283" s="111"/>
      <c r="E283" s="116"/>
      <c r="F283" s="173"/>
      <c r="G283" s="122"/>
      <c r="H283" s="122"/>
      <c r="I283" s="122"/>
      <c r="J283" s="122"/>
      <c r="K283" s="122"/>
      <c r="L283" s="128"/>
    </row>
    <row r="284" spans="1:12" x14ac:dyDescent="0.25">
      <c r="A284" s="125" t="str">
        <f>IF($A278&lt;&gt;0,"Lot " &amp; VLOOKUP($A278,Liste!$A$10:$W$59,15,FALSE),"")</f>
        <v xml:space="preserve">Lot </v>
      </c>
      <c r="B284" s="119">
        <f>IF($A278&lt;&gt;0,VLOOKUP($A278,Liste!$A$10:$W$59,16,FALSE),"")</f>
        <v>0</v>
      </c>
      <c r="C284" s="119">
        <f>IF($A278&lt;&gt;0,VLOOKUP($A278,Liste!$A$10:$W$59,17,FALSE),"")</f>
        <v>0</v>
      </c>
      <c r="D284" s="119"/>
      <c r="E284" s="125"/>
      <c r="F284" s="168"/>
      <c r="G284" s="168" t="s">
        <v>159</v>
      </c>
      <c r="H284" s="174" t="s">
        <v>160</v>
      </c>
      <c r="I284" s="84"/>
      <c r="J284" s="84"/>
      <c r="K284" s="84"/>
      <c r="L284" s="108"/>
    </row>
    <row r="285" spans="1:12" x14ac:dyDescent="0.25">
      <c r="A285" s="125" t="str">
        <f>IF($A278&lt;&gt;0,"Lot " &amp; VLOOKUP($A278,Liste!$A$10:$W$59,18,FALSE),"")</f>
        <v xml:space="preserve">Lot </v>
      </c>
      <c r="B285" s="119">
        <f>IF($A278&lt;&gt;0,VLOOKUP($A278,Liste!$A$10:$W$59,19,FALSE),"")</f>
        <v>0</v>
      </c>
      <c r="C285" s="119">
        <f>IF($A278&lt;&gt;0,VLOOKUP($A278,Liste!$A$10:$W$59,20,FALSE),"")</f>
        <v>0</v>
      </c>
      <c r="F285" s="169"/>
      <c r="G285" s="169" t="s">
        <v>161</v>
      </c>
      <c r="H285" s="174" t="s">
        <v>160</v>
      </c>
      <c r="I285" s="167"/>
      <c r="J285" s="167"/>
      <c r="K285" s="167"/>
      <c r="L285" s="176"/>
    </row>
    <row r="286" spans="1:12" ht="13.8" thickBot="1" x14ac:dyDescent="0.3">
      <c r="A286" s="124" t="str">
        <f>IF($A278&lt;&gt;0,"Lot " &amp; VLOOKUP($A278,Liste!$A$10:$W$59,21,FALSE),"")</f>
        <v xml:space="preserve">Lot </v>
      </c>
      <c r="B286" s="123">
        <f>IF($A278&lt;&gt;0,VLOOKUP($A278,Liste!$A$10:$W$59,22,FALSE),"")</f>
        <v>0</v>
      </c>
      <c r="C286" s="123">
        <f>IF($A278&lt;&gt;0,VLOOKUP($A278,Liste!$A$10:$W$59,23,FALSE),"")</f>
        <v>0</v>
      </c>
      <c r="D286" s="122"/>
      <c r="E286" s="122"/>
      <c r="F286" s="122"/>
      <c r="G286" s="226" t="str">
        <f>IF(OR(B279=0,VLOOKUP(A278,Liste!$A$10:'Liste'!$Z$59,26)&lt;&gt;""),"", "Voir autorisation messages électroniques")</f>
        <v/>
      </c>
      <c r="H286" s="226"/>
      <c r="I286" s="226"/>
      <c r="J286" s="122"/>
      <c r="K286" s="122"/>
      <c r="L286" s="128"/>
    </row>
    <row r="287" spans="1:12" ht="18.75" customHeight="1" x14ac:dyDescent="0.25">
      <c r="A287" s="120">
        <f>IF(A278&lt;Liste!$D$2,A278+1,"")</f>
        <v>30</v>
      </c>
      <c r="B287" s="121"/>
      <c r="C287" s="82"/>
      <c r="D287" s="82"/>
      <c r="E287" s="82"/>
      <c r="F287" s="183"/>
      <c r="G287" s="181" t="s">
        <v>162</v>
      </c>
      <c r="H287" s="166"/>
      <c r="I287" s="166"/>
      <c r="J287" s="166"/>
      <c r="K287" s="166"/>
      <c r="L287" s="175"/>
    </row>
    <row r="288" spans="1:12" ht="18" thickBot="1" x14ac:dyDescent="0.35">
      <c r="A288" s="83" t="str">
        <f>IF($A287&lt;&gt;0,VLOOKUP($A287,Liste!$A$10:$W$59,3,FALSE),"")</f>
        <v>Monsieur</v>
      </c>
      <c r="B288" s="185">
        <f>IF($A287&lt;&gt;0,VLOOKUP($A287,Liste!$A$10:$W$59,4,FALSE),"")</f>
        <v>0</v>
      </c>
      <c r="E288" s="109" t="str">
        <f>IF($A287&lt;&gt;0,VLOOKUP($A287,Liste!$A$10:$W$59,8,FALSE),"")</f>
        <v/>
      </c>
      <c r="F288" s="184"/>
      <c r="G288" s="182" t="s">
        <v>158</v>
      </c>
      <c r="H288" s="106"/>
      <c r="I288" s="106"/>
      <c r="J288" s="106"/>
      <c r="K288" s="106"/>
      <c r="L288" s="26"/>
    </row>
    <row r="289" spans="1:12" x14ac:dyDescent="0.25">
      <c r="A289" s="114">
        <f>IF($A287&lt;&gt;0,VLOOKUP($A287,Liste!$A$10:$W$59,5,FALSE),"")</f>
        <v>0</v>
      </c>
      <c r="F289" s="170"/>
      <c r="G289" s="171" t="s">
        <v>163</v>
      </c>
      <c r="H289" s="171"/>
      <c r="I289" s="171"/>
      <c r="J289" s="171"/>
      <c r="K289" s="171"/>
      <c r="L289" s="127"/>
    </row>
    <row r="290" spans="1:12" x14ac:dyDescent="0.25">
      <c r="A290" s="114">
        <f>IF($A287&lt;&gt;0,VLOOKUP($A287,Liste!$A$10:$W$59,6,FALSE),"")</f>
        <v>0</v>
      </c>
      <c r="B290" s="107">
        <f>IF($A287&lt;&gt;0,VLOOKUP($A287,Liste!$A$10:$W$59,7,FALSE),"")</f>
        <v>0</v>
      </c>
      <c r="F290" s="172"/>
      <c r="G290" s="82"/>
      <c r="H290" s="82"/>
      <c r="I290" s="82"/>
      <c r="J290" s="82"/>
      <c r="K290" s="82"/>
      <c r="L290" s="89"/>
    </row>
    <row r="291" spans="1:12" x14ac:dyDescent="0.25">
      <c r="A291" s="115" t="str">
        <f xml:space="preserve"> IF($A287&lt;&gt;0, "Lot " &amp; VLOOKUP($A287,Liste!$A$10:$W$59,9,FALSE),"")</f>
        <v xml:space="preserve">Lot </v>
      </c>
      <c r="B291" s="111">
        <f>IF($A287&lt;&gt;0,VLOOKUP($A287,Liste!$A$10:$W$59,10,FALSE),"")</f>
        <v>0</v>
      </c>
      <c r="C291" s="110">
        <f>IF($A287&lt;&gt;0,VLOOKUP($A287,Liste!$A$10:$W$59,11,FALSE),"")</f>
        <v>0</v>
      </c>
      <c r="F291" s="172"/>
      <c r="G291" s="82"/>
      <c r="H291" s="82"/>
      <c r="I291" s="82"/>
      <c r="J291" s="82"/>
      <c r="K291" s="82"/>
      <c r="L291" s="89"/>
    </row>
    <row r="292" spans="1:12" ht="13.8" thickBot="1" x14ac:dyDescent="0.3">
      <c r="A292" s="115" t="str">
        <f>IF($A287&lt;&gt;0,"Lot " &amp; VLOOKUP($A287,Liste!$A$10:$W$59,12,FALSE),"")</f>
        <v xml:space="preserve">Lot </v>
      </c>
      <c r="B292" s="111">
        <f>IF($A287&lt;&gt;0,VLOOKUP($A287,Liste!$A$10:$W$59,13,FALSE),"")</f>
        <v>0</v>
      </c>
      <c r="C292" s="110">
        <f>IF($A287&lt;&gt;0,VLOOKUP($A287,Liste!$A$10:$W$59,14,FALSE),"")</f>
        <v>0</v>
      </c>
      <c r="D292" s="111"/>
      <c r="E292" s="116"/>
      <c r="F292" s="173"/>
      <c r="G292" s="122"/>
      <c r="H292" s="122"/>
      <c r="I292" s="122"/>
      <c r="J292" s="122"/>
      <c r="K292" s="122"/>
      <c r="L292" s="128"/>
    </row>
    <row r="293" spans="1:12" x14ac:dyDescent="0.25">
      <c r="A293" s="125" t="str">
        <f>IF($A287&lt;&gt;0,"Lot " &amp; VLOOKUP($A287,Liste!$A$10:$W$59,15,FALSE),"")</f>
        <v xml:space="preserve">Lot </v>
      </c>
      <c r="B293" s="119">
        <f>IF($A287&lt;&gt;0,VLOOKUP($A287,Liste!$A$10:$W$59,16,FALSE),"")</f>
        <v>0</v>
      </c>
      <c r="C293" s="119">
        <f>IF($A287&lt;&gt;0,VLOOKUP($A287,Liste!$A$10:$W$59,17,FALSE),"")</f>
        <v>0</v>
      </c>
      <c r="D293" s="119"/>
      <c r="E293" s="125"/>
      <c r="F293" s="168"/>
      <c r="G293" s="168" t="s">
        <v>159</v>
      </c>
      <c r="H293" s="174" t="s">
        <v>160</v>
      </c>
      <c r="I293" s="84"/>
      <c r="J293" s="84"/>
      <c r="K293" s="84"/>
      <c r="L293" s="108"/>
    </row>
    <row r="294" spans="1:12" x14ac:dyDescent="0.25">
      <c r="A294" s="125" t="str">
        <f>IF($A287&lt;&gt;0,"Lot " &amp; VLOOKUP($A287,Liste!$A$10:$W$59,18,FALSE),"")</f>
        <v xml:space="preserve">Lot </v>
      </c>
      <c r="B294" s="119">
        <f>IF($A287&lt;&gt;0,VLOOKUP($A287,Liste!$A$10:$W$59,19,FALSE),"")</f>
        <v>0</v>
      </c>
      <c r="C294" s="119">
        <f>IF($A287&lt;&gt;0,VLOOKUP($A287,Liste!$A$10:$W$59,19,FALSE),"")</f>
        <v>0</v>
      </c>
      <c r="F294" s="169"/>
      <c r="G294" s="169" t="s">
        <v>161</v>
      </c>
      <c r="H294" s="174" t="s">
        <v>160</v>
      </c>
      <c r="I294" s="167"/>
      <c r="J294" s="167"/>
      <c r="K294" s="167"/>
      <c r="L294" s="176"/>
    </row>
    <row r="295" spans="1:12" ht="13.8" thickBot="1" x14ac:dyDescent="0.3">
      <c r="A295" s="124" t="str">
        <f>IF($A287&lt;&gt;0,"Lot " &amp; VLOOKUP($A287,Liste!$A$10:$W$59,21,FALSE),"")</f>
        <v xml:space="preserve">Lot </v>
      </c>
      <c r="B295" s="123">
        <f>IF($A287&lt;&gt;0,VLOOKUP($A287,Liste!$A$10:$W$59,22,FALSE),"")</f>
        <v>0</v>
      </c>
      <c r="C295" s="123">
        <f>IF($A287&lt;&gt;0,VLOOKUP($A287,Liste!$A$10:$W$59,23,FALSE),"")</f>
        <v>0</v>
      </c>
      <c r="D295" s="122"/>
      <c r="E295" s="122"/>
      <c r="F295" s="122"/>
      <c r="G295" s="226" t="str">
        <f>IF(OR(B288=0,VLOOKUP(A287,Liste!$A$10:'Liste'!$Z$59,26)&lt;&gt;""),"", "Voir autorisation messages électroniques")</f>
        <v/>
      </c>
      <c r="H295" s="226"/>
      <c r="I295" s="226"/>
      <c r="J295" s="122"/>
      <c r="K295" s="122"/>
      <c r="L295" s="128"/>
    </row>
    <row r="296" spans="1:12" x14ac:dyDescent="0.25">
      <c r="L296" s="82"/>
    </row>
    <row r="297" spans="1:12" ht="17.399999999999999" x14ac:dyDescent="0.3">
      <c r="D297" s="112" t="s">
        <v>93</v>
      </c>
      <c r="E297" s="112"/>
      <c r="F297" s="112"/>
      <c r="K297" s="133" t="s">
        <v>98</v>
      </c>
      <c r="L297" s="177">
        <f>L238+1</f>
        <v>6</v>
      </c>
    </row>
    <row r="298" spans="1:12" x14ac:dyDescent="0.25">
      <c r="E298" s="133" t="s">
        <v>114</v>
      </c>
      <c r="F298" s="133"/>
      <c r="G298" s="152">
        <f>IF(A301&gt;0,Liste!$C$1,"")</f>
        <v>44084</v>
      </c>
    </row>
    <row r="299" spans="1:12" x14ac:dyDescent="0.25">
      <c r="D299" t="str">
        <f>IF(A301&gt;0,Liste!$C$3&amp;"; "&amp;Liste!$C$4&amp;" "&amp;Liste!$C$5,"""")</f>
        <v>Résidence Le Paradis; Rue de l' espoir 75016 PARIS</v>
      </c>
      <c r="E299" s="152"/>
      <c r="F299" s="152"/>
      <c r="G299" s="152"/>
    </row>
    <row r="300" spans="1:12" ht="13.8" thickBot="1" x14ac:dyDescent="0.3">
      <c r="A300" s="84"/>
      <c r="B300" s="84"/>
      <c r="C300" s="84"/>
      <c r="D300" s="84"/>
      <c r="E300" s="84"/>
      <c r="F300" s="84"/>
      <c r="G300" s="84"/>
    </row>
    <row r="301" spans="1:12" ht="15.75" customHeight="1" x14ac:dyDescent="0.25">
      <c r="A301" s="120">
        <f>IF(A287&lt;Liste!$D$2,A287+1,"")</f>
        <v>31</v>
      </c>
      <c r="B301" s="121"/>
      <c r="C301" s="82"/>
      <c r="D301" s="82"/>
      <c r="E301" s="82"/>
      <c r="F301" s="183"/>
      <c r="G301" s="181" t="s">
        <v>162</v>
      </c>
      <c r="H301" s="166"/>
      <c r="I301" s="166"/>
      <c r="J301" s="166"/>
      <c r="K301" s="166"/>
      <c r="L301" s="175"/>
    </row>
    <row r="302" spans="1:12" ht="18" thickBot="1" x14ac:dyDescent="0.35">
      <c r="A302" s="83">
        <f>IF($A301&lt;&gt;0,VLOOKUP($A301,Liste!$A$10:$W$59,3,FALSE),"")</f>
        <v>0</v>
      </c>
      <c r="B302" s="185">
        <f>IF($A301&lt;&gt;0,VLOOKUP($A301,Liste!$A$10:$W$59,4,FALSE),"")</f>
        <v>0</v>
      </c>
      <c r="E302" s="109" t="str">
        <f>IF($A301&lt;&gt;0,VLOOKUP($A301,Liste!$A$10:$W$59,8,FALSE),"")</f>
        <v/>
      </c>
      <c r="F302" s="184"/>
      <c r="G302" s="182" t="s">
        <v>158</v>
      </c>
      <c r="H302" s="106"/>
      <c r="I302" s="106"/>
      <c r="J302" s="106"/>
      <c r="K302" s="106"/>
      <c r="L302" s="26"/>
    </row>
    <row r="303" spans="1:12" x14ac:dyDescent="0.25">
      <c r="A303" s="114">
        <f>IF($A301&lt;&gt;0,VLOOKUP($A301,Liste!$A$10:$W$59,5,FALSE),"")</f>
        <v>0</v>
      </c>
      <c r="F303" s="170"/>
      <c r="G303" s="171" t="s">
        <v>163</v>
      </c>
      <c r="H303" s="171"/>
      <c r="I303" s="171"/>
      <c r="J303" s="171"/>
      <c r="K303" s="171"/>
      <c r="L303" s="127"/>
    </row>
    <row r="304" spans="1:12" x14ac:dyDescent="0.25">
      <c r="A304" s="114">
        <f>IF($A301&lt;&gt;0,VLOOKUP($A301,Liste!$A$10:$W$59,6,FALSE),"")</f>
        <v>0</v>
      </c>
      <c r="B304" s="107">
        <f>IF($A301&lt;&gt;0,VLOOKUP($A301,Liste!$A$10:$W$59,7,FALSE),"")</f>
        <v>0</v>
      </c>
      <c r="F304" s="172"/>
      <c r="G304" s="82"/>
      <c r="H304" s="82"/>
      <c r="I304" s="82"/>
      <c r="J304" s="82"/>
      <c r="K304" s="82"/>
      <c r="L304" s="89"/>
    </row>
    <row r="305" spans="1:12" x14ac:dyDescent="0.25">
      <c r="A305" s="115" t="str">
        <f xml:space="preserve"> IF($A301&lt;&gt;0, "Lot " &amp; VLOOKUP($A301,Liste!$A$10:$W$59,9,FALSE),"")</f>
        <v xml:space="preserve">Lot </v>
      </c>
      <c r="B305" s="111">
        <f>IF($A301&lt;&gt;0,VLOOKUP($A301,Liste!$A$10:$W$59,10,FALSE),"")</f>
        <v>0</v>
      </c>
      <c r="C305" s="110">
        <f>IF($A301&lt;&gt;0,VLOOKUP($A301,Liste!$A$10:$W$59,11,FALSE),"")</f>
        <v>0</v>
      </c>
      <c r="F305" s="172"/>
      <c r="G305" s="82"/>
      <c r="H305" s="82"/>
      <c r="I305" s="82"/>
      <c r="J305" s="82"/>
      <c r="K305" s="82"/>
      <c r="L305" s="89"/>
    </row>
    <row r="306" spans="1:12" ht="13.8" thickBot="1" x14ac:dyDescent="0.3">
      <c r="A306" s="115" t="str">
        <f>IF($A301&lt;&gt;0,"Lot " &amp; VLOOKUP($A301,Liste!$A$10:$W$59,12,FALSE),"")</f>
        <v xml:space="preserve">Lot </v>
      </c>
      <c r="B306" s="111">
        <f>IF($A301&lt;&gt;0,VLOOKUP($A301,Liste!$A$10:$W$59,13,FALSE),"")</f>
        <v>0</v>
      </c>
      <c r="C306" s="110">
        <f>IF($A301&lt;&gt;0,VLOOKUP($A301,Liste!$A$10:$W$59,14,FALSE),"")</f>
        <v>0</v>
      </c>
      <c r="D306" s="111"/>
      <c r="E306" s="116"/>
      <c r="F306" s="173"/>
      <c r="G306" s="122"/>
      <c r="H306" s="122"/>
      <c r="I306" s="122"/>
      <c r="J306" s="122"/>
      <c r="K306" s="122"/>
      <c r="L306" s="128"/>
    </row>
    <row r="307" spans="1:12" x14ac:dyDescent="0.25">
      <c r="A307" s="125" t="str">
        <f>IF($A301&lt;&gt;0,"Lot " &amp; VLOOKUP($A301,Liste!$A$10:$W$59,15,FALSE),"")</f>
        <v xml:space="preserve">Lot </v>
      </c>
      <c r="B307" s="119">
        <f>IF($A301&lt;&gt;0,VLOOKUP($A301,Liste!$A$10:$W$59,16,FALSE),"")</f>
        <v>0</v>
      </c>
      <c r="C307" s="119">
        <f>IF($A301&lt;&gt;0,VLOOKUP($A301,Liste!$A$10:$W$59,17,FALSE),"")</f>
        <v>0</v>
      </c>
      <c r="D307" s="119"/>
      <c r="E307" s="125"/>
      <c r="F307" s="168"/>
      <c r="G307" s="168" t="s">
        <v>159</v>
      </c>
      <c r="H307" s="174" t="s">
        <v>160</v>
      </c>
      <c r="I307" s="84"/>
      <c r="J307" s="84"/>
      <c r="K307" s="84"/>
      <c r="L307" s="108"/>
    </row>
    <row r="308" spans="1:12" x14ac:dyDescent="0.25">
      <c r="A308" s="125" t="str">
        <f>IF($A301&lt;&gt;0,"Lot " &amp; VLOOKUP($A301,Liste!$A$10:$W$59,18,FALSE),"")</f>
        <v xml:space="preserve">Lot </v>
      </c>
      <c r="B308" s="119">
        <f>IF($A301&lt;&gt;0,VLOOKUP($A301,Liste!$A$10:$W$59,19,FALSE),"")</f>
        <v>0</v>
      </c>
      <c r="C308" s="119">
        <f>IF($A301&lt;&gt;0,VLOOKUP($A301,Liste!$A$10:$W$59,19,FALSE),"")</f>
        <v>0</v>
      </c>
      <c r="F308" s="169"/>
      <c r="G308" s="169" t="s">
        <v>161</v>
      </c>
      <c r="H308" s="174" t="s">
        <v>160</v>
      </c>
      <c r="I308" s="167"/>
      <c r="J308" s="167"/>
      <c r="K308" s="167"/>
      <c r="L308" s="176"/>
    </row>
    <row r="309" spans="1:12" ht="13.8" thickBot="1" x14ac:dyDescent="0.3">
      <c r="A309" s="124" t="str">
        <f>IF($A301&lt;&gt;0,"Lot " &amp; VLOOKUP($A301,Liste!$A$10:$W$59,21,FALSE),"")</f>
        <v xml:space="preserve">Lot </v>
      </c>
      <c r="B309" s="123">
        <f>IF($A301&lt;&gt;0,VLOOKUP($A301,Liste!$A$10:$W$59,22,FALSE),"")</f>
        <v>0</v>
      </c>
      <c r="C309" s="123">
        <f>IF($A301&lt;&gt;0,VLOOKUP($A301,Liste!$A$10:$W$59,23,FALSE),"")</f>
        <v>0</v>
      </c>
      <c r="D309" s="122"/>
      <c r="E309" s="122"/>
      <c r="F309" s="122"/>
      <c r="G309" s="226" t="str">
        <f>IF(OR(B302=0,VLOOKUP(A301,Liste!$A$10:'Liste'!$Z$59,26)&lt;&gt;""),"", "Voir autorisation messages électroniques")</f>
        <v/>
      </c>
      <c r="H309" s="226"/>
      <c r="I309" s="226"/>
      <c r="J309" s="122"/>
      <c r="K309" s="122"/>
      <c r="L309" s="128"/>
    </row>
    <row r="310" spans="1:12" ht="18" customHeight="1" x14ac:dyDescent="0.25">
      <c r="A310" s="120">
        <f>IF(A301&lt;Liste!$D$2,A301+1,"")</f>
        <v>32</v>
      </c>
      <c r="B310" s="121"/>
      <c r="C310" s="82"/>
      <c r="D310" s="82"/>
      <c r="E310" s="82"/>
      <c r="F310" s="183"/>
      <c r="G310" s="181" t="s">
        <v>162</v>
      </c>
      <c r="H310" s="166"/>
      <c r="I310" s="166"/>
      <c r="J310" s="166"/>
      <c r="K310" s="166"/>
      <c r="L310" s="175"/>
    </row>
    <row r="311" spans="1:12" ht="18" thickBot="1" x14ac:dyDescent="0.35">
      <c r="A311" s="83">
        <f>IF($A310&lt;&gt;0,VLOOKUP($A310,Liste!$A$10:$W$59,3,FALSE),"")</f>
        <v>0</v>
      </c>
      <c r="B311" s="185">
        <f>IF($A310&lt;&gt;0,VLOOKUP($A310,Liste!$A$10:$W$59,4,FALSE),"")</f>
        <v>0</v>
      </c>
      <c r="E311" s="109" t="str">
        <f>IF($A310&lt;&gt;0,VLOOKUP($A310,Liste!$A$10:$W$59,8,FALSE),"")</f>
        <v/>
      </c>
      <c r="F311" s="184"/>
      <c r="G311" s="182" t="s">
        <v>158</v>
      </c>
      <c r="H311" s="106"/>
      <c r="I311" s="106"/>
      <c r="J311" s="106"/>
      <c r="K311" s="106"/>
      <c r="L311" s="26"/>
    </row>
    <row r="312" spans="1:12" x14ac:dyDescent="0.25">
      <c r="A312" s="114">
        <f>IF($A310&lt;&gt;0,VLOOKUP($A310,Liste!$A$10:$W$59,5,FALSE),"")</f>
        <v>0</v>
      </c>
      <c r="F312" s="170"/>
      <c r="G312" s="171" t="s">
        <v>163</v>
      </c>
      <c r="H312" s="171"/>
      <c r="I312" s="171"/>
      <c r="J312" s="171"/>
      <c r="K312" s="171"/>
      <c r="L312" s="127"/>
    </row>
    <row r="313" spans="1:12" x14ac:dyDescent="0.25">
      <c r="A313" s="114">
        <f>IF($A310&lt;&gt;0,VLOOKUP($A310,Liste!$A$10:$W$59,6,FALSE),"")</f>
        <v>0</v>
      </c>
      <c r="B313" s="107">
        <f>IF($A310&lt;&gt;0,VLOOKUP($A310,Liste!$A$10:$W$59,7,FALSE),"")</f>
        <v>0</v>
      </c>
      <c r="F313" s="172"/>
      <c r="G313" s="82"/>
      <c r="H313" s="82"/>
      <c r="I313" s="82"/>
      <c r="J313" s="82"/>
      <c r="K313" s="82"/>
      <c r="L313" s="89"/>
    </row>
    <row r="314" spans="1:12" x14ac:dyDescent="0.25">
      <c r="A314" s="115" t="str">
        <f xml:space="preserve"> IF($A310&lt;&gt;0, "Lot " &amp; VLOOKUP($A310,Liste!$A$10:$W$59,9,FALSE),"")</f>
        <v xml:space="preserve">Lot </v>
      </c>
      <c r="B314" s="111">
        <f>IF($A310&lt;&gt;0,VLOOKUP($A310,Liste!$A$10:$W$59,10,FALSE),"")</f>
        <v>0</v>
      </c>
      <c r="C314" s="110">
        <f>IF($A310&lt;&gt;0,VLOOKUP($A310,Liste!$A$10:$W$59,11,FALSE),"")</f>
        <v>0</v>
      </c>
      <c r="F314" s="172"/>
      <c r="G314" s="82"/>
      <c r="H314" s="82"/>
      <c r="I314" s="82"/>
      <c r="J314" s="82"/>
      <c r="K314" s="82"/>
      <c r="L314" s="89"/>
    </row>
    <row r="315" spans="1:12" ht="13.8" thickBot="1" x14ac:dyDescent="0.3">
      <c r="A315" s="115" t="str">
        <f>IF($A310&lt;&gt;0,"Lot " &amp; VLOOKUP($A310,Liste!$A$10:$W$59,12,FALSE),"")</f>
        <v xml:space="preserve">Lot </v>
      </c>
      <c r="B315" s="111">
        <f>IF($A310&lt;&gt;0,VLOOKUP($A310,Liste!$A$10:$W$59,13,FALSE),"")</f>
        <v>0</v>
      </c>
      <c r="C315" s="110">
        <f>IF($A310&lt;&gt;0,VLOOKUP($A310,Liste!$A$10:$W$59,14,FALSE),"")</f>
        <v>0</v>
      </c>
      <c r="D315" s="111"/>
      <c r="E315" s="116"/>
      <c r="F315" s="173"/>
      <c r="G315" s="122"/>
      <c r="H315" s="122"/>
      <c r="I315" s="122"/>
      <c r="J315" s="122"/>
      <c r="K315" s="122"/>
      <c r="L315" s="128"/>
    </row>
    <row r="316" spans="1:12" x14ac:dyDescent="0.25">
      <c r="A316" s="125" t="str">
        <f>IF($A310&lt;&gt;0,"Lot " &amp; VLOOKUP($A310,Liste!$A$10:$W$59,15,FALSE),"")</f>
        <v xml:space="preserve">Lot </v>
      </c>
      <c r="B316" s="119">
        <f>IF($A310&lt;&gt;0,VLOOKUP($A310,Liste!$A$10:$W$59,16,FALSE),"")</f>
        <v>0</v>
      </c>
      <c r="C316" s="119">
        <f>IF($A310&lt;&gt;0,VLOOKUP($A310,Liste!$A$10:$W$59,17,FALSE),"")</f>
        <v>0</v>
      </c>
      <c r="D316" s="119"/>
      <c r="E316" s="125"/>
      <c r="F316" s="168"/>
      <c r="G316" s="168" t="s">
        <v>159</v>
      </c>
      <c r="H316" s="174" t="s">
        <v>160</v>
      </c>
      <c r="I316" s="84"/>
      <c r="J316" s="84"/>
      <c r="K316" s="84"/>
      <c r="L316" s="108"/>
    </row>
    <row r="317" spans="1:12" x14ac:dyDescent="0.25">
      <c r="A317" s="125" t="str">
        <f>IF($A310&lt;&gt;0,"Lot " &amp; VLOOKUP($A310,Liste!$A$10:$W$59,18,FALSE),"")</f>
        <v xml:space="preserve">Lot </v>
      </c>
      <c r="B317" s="119">
        <f>IF($A310&lt;&gt;0,VLOOKUP($A310,Liste!$A$10:$W$59,19,FALSE),"")</f>
        <v>0</v>
      </c>
      <c r="C317" s="119">
        <f>IF($A310&lt;&gt;0,VLOOKUP($A310,Liste!$A$10:$W$59,19,FALSE),"")</f>
        <v>0</v>
      </c>
      <c r="F317" s="169"/>
      <c r="G317" s="169" t="s">
        <v>161</v>
      </c>
      <c r="H317" s="174" t="s">
        <v>160</v>
      </c>
      <c r="I317" s="167"/>
      <c r="J317" s="167"/>
      <c r="K317" s="167"/>
      <c r="L317" s="176"/>
    </row>
    <row r="318" spans="1:12" ht="13.8" thickBot="1" x14ac:dyDescent="0.3">
      <c r="A318" s="124" t="str">
        <f>IF($A310&lt;&gt;0,"Lot " &amp; VLOOKUP($A310,Liste!$A$10:$W$59,21,FALSE),"")</f>
        <v xml:space="preserve">Lot </v>
      </c>
      <c r="B318" s="123">
        <f>IF($A310&lt;&gt;0,VLOOKUP($A310,Liste!$A$10:$W$59,22,FALSE),"")</f>
        <v>0</v>
      </c>
      <c r="C318" s="123">
        <f>IF($A310&lt;&gt;0,VLOOKUP($A310,Liste!$A$10:$W$59,23,FALSE),"")</f>
        <v>0</v>
      </c>
      <c r="D318" s="122"/>
      <c r="E318" s="122"/>
      <c r="F318" s="122"/>
      <c r="G318" s="226" t="str">
        <f>IF(OR(B311=0,VLOOKUP(A310,Liste!$A$10:'Liste'!$Z$59,26)&lt;&gt;""),"", "Voir autorisation messages électroniques")</f>
        <v/>
      </c>
      <c r="H318" s="226"/>
      <c r="I318" s="226"/>
      <c r="J318" s="122"/>
      <c r="K318" s="122"/>
      <c r="L318" s="128"/>
    </row>
    <row r="319" spans="1:12" ht="17.25" customHeight="1" x14ac:dyDescent="0.25">
      <c r="A319" s="120">
        <f>IF(A310&lt;Liste!$D$2,A310+1,"")</f>
        <v>33</v>
      </c>
      <c r="B319" s="121"/>
      <c r="C319" s="82"/>
      <c r="D319" s="82"/>
      <c r="E319" s="82"/>
      <c r="F319" s="183"/>
      <c r="G319" s="181" t="s">
        <v>162</v>
      </c>
      <c r="H319" s="166"/>
      <c r="I319" s="166"/>
      <c r="J319" s="166"/>
      <c r="K319" s="166"/>
      <c r="L319" s="175"/>
    </row>
    <row r="320" spans="1:12" ht="18" thickBot="1" x14ac:dyDescent="0.35">
      <c r="A320" s="83">
        <f>IF($A319&lt;&gt;0,VLOOKUP($A319,Liste!$A$10:$W$59,3,FALSE),"")</f>
        <v>0</v>
      </c>
      <c r="B320" s="185">
        <f>IF($A319&lt;&gt;0,VLOOKUP($A319,Liste!$A$10:$W$59,4,FALSE),"")</f>
        <v>0</v>
      </c>
      <c r="E320" s="109" t="str">
        <f>IF($A319&lt;&gt;0,VLOOKUP($A319,Liste!$A$10:$W$59,8,FALSE),"")</f>
        <v/>
      </c>
      <c r="F320" s="184"/>
      <c r="G320" s="182" t="s">
        <v>158</v>
      </c>
      <c r="H320" s="106"/>
      <c r="I320" s="106"/>
      <c r="J320" s="106"/>
      <c r="K320" s="106"/>
      <c r="L320" s="26"/>
    </row>
    <row r="321" spans="1:12" x14ac:dyDescent="0.25">
      <c r="A321" s="114">
        <f>IF($A319&lt;&gt;0,VLOOKUP($A319,Liste!$A$10:$W$59,5,FALSE),"")</f>
        <v>0</v>
      </c>
      <c r="F321" s="170"/>
      <c r="G321" s="171" t="s">
        <v>163</v>
      </c>
      <c r="H321" s="171"/>
      <c r="I321" s="171"/>
      <c r="J321" s="171"/>
      <c r="K321" s="171"/>
      <c r="L321" s="127"/>
    </row>
    <row r="322" spans="1:12" x14ac:dyDescent="0.25">
      <c r="A322" s="114">
        <f>IF($A319&lt;&gt;0,VLOOKUP($A319,Liste!$A$10:$W$59,6,FALSE),"")</f>
        <v>0</v>
      </c>
      <c r="B322" s="107">
        <f>IF($A319&lt;&gt;0,VLOOKUP($A319,Liste!$A$10:$W$59,7,FALSE),"")</f>
        <v>0</v>
      </c>
      <c r="F322" s="172"/>
      <c r="G322" s="82"/>
      <c r="H322" s="82"/>
      <c r="I322" s="82"/>
      <c r="J322" s="82"/>
      <c r="K322" s="82"/>
      <c r="L322" s="89"/>
    </row>
    <row r="323" spans="1:12" x14ac:dyDescent="0.25">
      <c r="A323" s="115" t="str">
        <f xml:space="preserve"> IF($A319&lt;&gt;0, "Lot " &amp; VLOOKUP($A319,Liste!$A$10:$W$59,9,FALSE),"")</f>
        <v xml:space="preserve">Lot </v>
      </c>
      <c r="B323" s="111">
        <f>IF($A319&lt;&gt;0,VLOOKUP($A319,Liste!$A$10:$W$59,10,FALSE),"")</f>
        <v>0</v>
      </c>
      <c r="C323" s="110">
        <f>IF($A319&lt;&gt;0,VLOOKUP($A319,Liste!$A$10:$W$59,11,FALSE),"")</f>
        <v>0</v>
      </c>
      <c r="F323" s="172"/>
      <c r="G323" s="82"/>
      <c r="H323" s="82"/>
      <c r="I323" s="82"/>
      <c r="J323" s="82"/>
      <c r="K323" s="82"/>
      <c r="L323" s="89"/>
    </row>
    <row r="324" spans="1:12" ht="13.8" thickBot="1" x14ac:dyDescent="0.3">
      <c r="A324" s="115" t="str">
        <f>IF($A319&lt;&gt;0,"Lot " &amp; VLOOKUP($A319,Liste!$A$10:$W$59,12,FALSE),"")</f>
        <v xml:space="preserve">Lot </v>
      </c>
      <c r="B324" s="111">
        <f>IF($A319&lt;&gt;0,VLOOKUP($A319,Liste!$A$10:$W$59,13,FALSE),"")</f>
        <v>0</v>
      </c>
      <c r="C324" s="110">
        <f>IF($A319&lt;&gt;0,VLOOKUP($A319,Liste!$A$10:$W$59,14,FALSE),"")</f>
        <v>0</v>
      </c>
      <c r="D324" s="111"/>
      <c r="E324" s="116"/>
      <c r="F324" s="173"/>
      <c r="G324" s="122"/>
      <c r="H324" s="122"/>
      <c r="I324" s="122"/>
      <c r="J324" s="122"/>
      <c r="K324" s="122"/>
      <c r="L324" s="128"/>
    </row>
    <row r="325" spans="1:12" x14ac:dyDescent="0.25">
      <c r="A325" s="125" t="str">
        <f>IF($A319&lt;&gt;0,"Lot " &amp; VLOOKUP($A319,Liste!$A$10:$W$59,15,FALSE),"")</f>
        <v xml:space="preserve">Lot </v>
      </c>
      <c r="B325" s="119">
        <f>IF($A319&lt;&gt;0,VLOOKUP($A319,Liste!$A$10:$W$59,16,FALSE),"")</f>
        <v>0</v>
      </c>
      <c r="C325" s="119">
        <f>IF($A319&lt;&gt;0,VLOOKUP($A319,Liste!$A$10:$W$59,17,FALSE),"")</f>
        <v>0</v>
      </c>
      <c r="D325" s="119"/>
      <c r="E325" s="125"/>
      <c r="F325" s="168"/>
      <c r="G325" s="168" t="s">
        <v>159</v>
      </c>
      <c r="H325" s="174" t="s">
        <v>160</v>
      </c>
      <c r="I325" s="84"/>
      <c r="J325" s="84"/>
      <c r="K325" s="84"/>
      <c r="L325" s="108"/>
    </row>
    <row r="326" spans="1:12" x14ac:dyDescent="0.25">
      <c r="A326" s="125" t="str">
        <f>IF($A319&lt;&gt;0,"Lot " &amp; VLOOKUP($A319,Liste!$A$10:$W$59,18,FALSE),"")</f>
        <v xml:space="preserve">Lot </v>
      </c>
      <c r="B326" s="119">
        <f>IF($A319&lt;&gt;0,VLOOKUP($A319,Liste!$A$10:$W$59,19,FALSE),"")</f>
        <v>0</v>
      </c>
      <c r="C326" s="119">
        <f>IF($A319&lt;&gt;0,VLOOKUP($A319,Liste!$A$10:$W$59,19,FALSE),"")</f>
        <v>0</v>
      </c>
      <c r="F326" s="169"/>
      <c r="G326" s="169" t="s">
        <v>161</v>
      </c>
      <c r="H326" s="174" t="s">
        <v>160</v>
      </c>
      <c r="I326" s="167"/>
      <c r="J326" s="167"/>
      <c r="K326" s="167"/>
      <c r="L326" s="176"/>
    </row>
    <row r="327" spans="1:12" ht="13.8" thickBot="1" x14ac:dyDescent="0.3">
      <c r="A327" s="124" t="str">
        <f>IF($A319&lt;&gt;0,"Lot " &amp; VLOOKUP($A319,Liste!$A$10:$W$59,21,FALSE),"")</f>
        <v xml:space="preserve">Lot </v>
      </c>
      <c r="B327" s="123">
        <f>IF($A319&lt;&gt;0,VLOOKUP($A319,Liste!$A$10:$W$59,22,FALSE),"")</f>
        <v>0</v>
      </c>
      <c r="C327" s="123">
        <f>IF($A319&lt;&gt;0,VLOOKUP($A319,Liste!$A$10:$W$59,23,FALSE),"")</f>
        <v>0</v>
      </c>
      <c r="D327" s="122"/>
      <c r="E327" s="122"/>
      <c r="F327" s="122"/>
      <c r="G327" s="226" t="str">
        <f>IF(OR(B320=0,VLOOKUP(A319,Liste!$A$10:'Liste'!$Z$59,26)&lt;&gt;""),"", "Voir autorisation messages électroniques")</f>
        <v/>
      </c>
      <c r="H327" s="226"/>
      <c r="I327" s="226"/>
      <c r="J327" s="122"/>
      <c r="K327" s="122"/>
      <c r="L327" s="128"/>
    </row>
    <row r="328" spans="1:12" ht="19.5" customHeight="1" x14ac:dyDescent="0.25">
      <c r="A328" s="120">
        <f>IF(A319&lt;Liste!$D$2,A319+1,"")</f>
        <v>34</v>
      </c>
      <c r="B328" s="121"/>
      <c r="C328" s="82"/>
      <c r="D328" s="82"/>
      <c r="E328" s="82"/>
      <c r="F328" s="183"/>
      <c r="G328" s="181" t="s">
        <v>162</v>
      </c>
      <c r="H328" s="166"/>
      <c r="I328" s="166"/>
      <c r="J328" s="166"/>
      <c r="K328" s="166"/>
      <c r="L328" s="175"/>
    </row>
    <row r="329" spans="1:12" ht="18" thickBot="1" x14ac:dyDescent="0.35">
      <c r="A329" s="83">
        <f>IF($A328&lt;&gt;0,VLOOKUP($A328,Liste!$A$10:$W$59,3,FALSE),"")</f>
        <v>0</v>
      </c>
      <c r="B329" s="185">
        <f>IF($A328&lt;&gt;0,VLOOKUP($A328,Liste!$A$10:$W$59,4,FALSE),"")</f>
        <v>0</v>
      </c>
      <c r="E329" s="109" t="str">
        <f>IF($A328&lt;&gt;0,VLOOKUP($A328,Liste!$A$10:$W$59,8,FALSE),"")</f>
        <v/>
      </c>
      <c r="F329" s="184"/>
      <c r="G329" s="182" t="s">
        <v>158</v>
      </c>
      <c r="H329" s="106"/>
      <c r="I329" s="106"/>
      <c r="J329" s="106"/>
      <c r="K329" s="106"/>
      <c r="L329" s="26"/>
    </row>
    <row r="330" spans="1:12" x14ac:dyDescent="0.25">
      <c r="A330" s="114">
        <f>IF($A328&lt;&gt;0,VLOOKUP($A328,Liste!$A$10:$W$59,5,FALSE),"")</f>
        <v>0</v>
      </c>
      <c r="F330" s="170"/>
      <c r="G330" s="171" t="s">
        <v>163</v>
      </c>
      <c r="H330" s="171"/>
      <c r="I330" s="171"/>
      <c r="J330" s="171"/>
      <c r="K330" s="171"/>
      <c r="L330" s="127"/>
    </row>
    <row r="331" spans="1:12" x14ac:dyDescent="0.25">
      <c r="A331" s="114">
        <f>IF($A328&lt;&gt;0,VLOOKUP($A328,Liste!$A$10:$W$59,6,FALSE),"")</f>
        <v>0</v>
      </c>
      <c r="B331" s="107">
        <f>IF($A328&lt;&gt;0,VLOOKUP($A328,Liste!$A$10:$W$59,7,FALSE),"")</f>
        <v>0</v>
      </c>
      <c r="F331" s="172"/>
      <c r="G331" s="82"/>
      <c r="H331" s="82"/>
      <c r="I331" s="82"/>
      <c r="J331" s="82"/>
      <c r="K331" s="82"/>
      <c r="L331" s="89"/>
    </row>
    <row r="332" spans="1:12" x14ac:dyDescent="0.25">
      <c r="A332" s="115" t="str">
        <f xml:space="preserve"> IF($A328&lt;&gt;0, "Lot " &amp; VLOOKUP($A328,Liste!$A$10:$W$59,9,FALSE),"")</f>
        <v xml:space="preserve">Lot </v>
      </c>
      <c r="B332" s="111">
        <f>IF($A328&lt;&gt;0,VLOOKUP($A328,Liste!$A$10:$W$59,10,FALSE),"")</f>
        <v>0</v>
      </c>
      <c r="C332" s="110">
        <f>IF($A328&lt;&gt;0,VLOOKUP($A328,Liste!$A$10:$W$59,11,FALSE),"")</f>
        <v>0</v>
      </c>
      <c r="F332" s="172"/>
      <c r="G332" s="82"/>
      <c r="H332" s="82"/>
      <c r="I332" s="82"/>
      <c r="J332" s="82"/>
      <c r="K332" s="82"/>
      <c r="L332" s="89"/>
    </row>
    <row r="333" spans="1:12" ht="13.8" thickBot="1" x14ac:dyDescent="0.3">
      <c r="A333" s="115" t="str">
        <f>IF($A328&lt;&gt;0,"Lot " &amp; VLOOKUP($A328,Liste!$A$10:$W$59,12,FALSE),"")</f>
        <v xml:space="preserve">Lot </v>
      </c>
      <c r="B333" s="111">
        <f>IF($A328&lt;&gt;0,VLOOKUP($A328,Liste!$A$10:$W$59,13,FALSE),"")</f>
        <v>0</v>
      </c>
      <c r="C333" s="110">
        <f>IF($A328&lt;&gt;0,VLOOKUP($A328,Liste!$A$10:$W$59,14,FALSE),"")</f>
        <v>0</v>
      </c>
      <c r="D333" s="111"/>
      <c r="E333" s="116"/>
      <c r="F333" s="173"/>
      <c r="G333" s="122"/>
      <c r="H333" s="122"/>
      <c r="I333" s="122"/>
      <c r="J333" s="122"/>
      <c r="K333" s="122"/>
      <c r="L333" s="128"/>
    </row>
    <row r="334" spans="1:12" x14ac:dyDescent="0.25">
      <c r="A334" s="125" t="str">
        <f>IF($A328&lt;&gt;0,"Lot " &amp; VLOOKUP($A328,Liste!$A$10:$W$59,15,FALSE),"")</f>
        <v xml:space="preserve">Lot </v>
      </c>
      <c r="B334" s="119">
        <f>IF($A328&lt;&gt;0,VLOOKUP($A328,Liste!$A$10:$W$59,16,FALSE),"")</f>
        <v>0</v>
      </c>
      <c r="C334" s="119">
        <f>IF($A328&lt;&gt;0,VLOOKUP($A328,Liste!$A$10:$W$59,17,FALSE),"")</f>
        <v>0</v>
      </c>
      <c r="D334" s="119"/>
      <c r="E334" s="125"/>
      <c r="F334" s="168"/>
      <c r="G334" s="168" t="s">
        <v>159</v>
      </c>
      <c r="H334" s="174" t="s">
        <v>160</v>
      </c>
      <c r="I334" s="84"/>
      <c r="J334" s="84"/>
      <c r="K334" s="84"/>
      <c r="L334" s="108"/>
    </row>
    <row r="335" spans="1:12" x14ac:dyDescent="0.25">
      <c r="A335" s="125" t="str">
        <f>IF($A328&lt;&gt;0,"Lot " &amp; VLOOKUP($A328,Liste!$A$10:$W$59,18,FALSE),"")</f>
        <v xml:space="preserve">Lot </v>
      </c>
      <c r="B335" s="119">
        <f>IF($A328&lt;&gt;0,VLOOKUP($A328,Liste!$A$10:$W$59,19,FALSE),"")</f>
        <v>0</v>
      </c>
      <c r="C335" s="119">
        <f>IF($A328&lt;&gt;0,VLOOKUP($A328,Liste!$A$10:$W$59,19,FALSE),"")</f>
        <v>0</v>
      </c>
      <c r="F335" s="169"/>
      <c r="G335" s="169" t="s">
        <v>161</v>
      </c>
      <c r="H335" s="174" t="s">
        <v>160</v>
      </c>
      <c r="I335" s="167"/>
      <c r="J335" s="167"/>
      <c r="K335" s="167"/>
      <c r="L335" s="176"/>
    </row>
    <row r="336" spans="1:12" ht="13.8" thickBot="1" x14ac:dyDescent="0.3">
      <c r="A336" s="124" t="str">
        <f>IF($A328&lt;&gt;0,"Lot " &amp; VLOOKUP($A328,Liste!$A$10:$W$59,21,FALSE),"")</f>
        <v xml:space="preserve">Lot </v>
      </c>
      <c r="B336" s="123">
        <f>IF($A328&lt;&gt;0,VLOOKUP($A328,Liste!$A$10:$W$59,22,FALSE),"")</f>
        <v>0</v>
      </c>
      <c r="C336" s="123">
        <f>IF($A328&lt;&gt;0,VLOOKUP($A328,Liste!$A$10:$W$59,23,FALSE),"")</f>
        <v>0</v>
      </c>
      <c r="D336" s="122"/>
      <c r="E336" s="122"/>
      <c r="F336" s="122"/>
      <c r="G336" s="226" t="str">
        <f>IF(OR(B329=0,VLOOKUP(A328,Liste!$A$10:'Liste'!$Z$59,26)&lt;&gt;""),"", "Voir autorisation messages électroniques")</f>
        <v/>
      </c>
      <c r="H336" s="226"/>
      <c r="I336" s="226"/>
      <c r="J336" s="122"/>
      <c r="K336" s="122"/>
      <c r="L336" s="128"/>
    </row>
    <row r="337" spans="1:12" ht="18.75" customHeight="1" x14ac:dyDescent="0.25">
      <c r="A337" s="120">
        <f>IF(A328&lt;Liste!$D$2,A328+1,"")</f>
        <v>35</v>
      </c>
      <c r="B337" s="121"/>
      <c r="C337" s="82"/>
      <c r="D337" s="82"/>
      <c r="E337" s="82"/>
      <c r="F337" s="183"/>
      <c r="G337" s="181" t="s">
        <v>162</v>
      </c>
      <c r="H337" s="166"/>
      <c r="I337" s="166"/>
      <c r="J337" s="166"/>
      <c r="K337" s="166"/>
      <c r="L337" s="175"/>
    </row>
    <row r="338" spans="1:12" ht="18" thickBot="1" x14ac:dyDescent="0.35">
      <c r="A338" s="83">
        <f>IF($A337&lt;&gt;0,VLOOKUP($A337,Liste!$A$10:$W$59,3,FALSE),"")</f>
        <v>0</v>
      </c>
      <c r="B338" s="185">
        <f>IF($A337&lt;&gt;0,VLOOKUP($A337,Liste!$A$10:$W$59,4,FALSE),"")</f>
        <v>0</v>
      </c>
      <c r="E338" s="109" t="str">
        <f>IF($A337&lt;&gt;0,VLOOKUP($A337,Liste!$A$10:$W$59,8,FALSE),"")</f>
        <v/>
      </c>
      <c r="F338" s="184"/>
      <c r="G338" s="182" t="s">
        <v>158</v>
      </c>
      <c r="H338" s="106"/>
      <c r="I338" s="106"/>
      <c r="J338" s="106"/>
      <c r="K338" s="106"/>
      <c r="L338" s="26"/>
    </row>
    <row r="339" spans="1:12" x14ac:dyDescent="0.25">
      <c r="A339" s="114">
        <f>IF($A337&lt;&gt;0,VLOOKUP($A337,Liste!$A$10:$W$59,5,FALSE),"")</f>
        <v>0</v>
      </c>
      <c r="F339" s="170"/>
      <c r="G339" s="171" t="s">
        <v>163</v>
      </c>
      <c r="H339" s="171"/>
      <c r="I339" s="171"/>
      <c r="J339" s="171"/>
      <c r="K339" s="171"/>
      <c r="L339" s="127"/>
    </row>
    <row r="340" spans="1:12" x14ac:dyDescent="0.25">
      <c r="A340" s="114">
        <f>IF($A337&lt;&gt;0,VLOOKUP($A337,Liste!$A$10:$W$59,6,FALSE),"")</f>
        <v>0</v>
      </c>
      <c r="B340" s="107">
        <f>IF($A337&lt;&gt;0,VLOOKUP($A337,Liste!$A$10:$W$59,7,FALSE),"")</f>
        <v>0</v>
      </c>
      <c r="F340" s="172"/>
      <c r="G340" s="82"/>
      <c r="H340" s="82"/>
      <c r="I340" s="82"/>
      <c r="J340" s="82"/>
      <c r="K340" s="82"/>
      <c r="L340" s="89"/>
    </row>
    <row r="341" spans="1:12" x14ac:dyDescent="0.25">
      <c r="A341" s="115" t="str">
        <f xml:space="preserve"> IF($A337&lt;&gt;0, "Lot " &amp; VLOOKUP($A337,Liste!$A$10:$W$59,9,FALSE),"")</f>
        <v xml:space="preserve">Lot </v>
      </c>
      <c r="B341" s="111">
        <f>IF($A337&lt;&gt;0,VLOOKUP($A337,Liste!$A$10:$W$59,10,FALSE),"")</f>
        <v>0</v>
      </c>
      <c r="C341" s="110">
        <f>IF($A337&lt;&gt;0,VLOOKUP($A337,Liste!$A$10:$W$59,11,FALSE),"")</f>
        <v>0</v>
      </c>
      <c r="F341" s="172"/>
      <c r="G341" s="82"/>
      <c r="H341" s="82"/>
      <c r="I341" s="82"/>
      <c r="J341" s="82"/>
      <c r="K341" s="82"/>
      <c r="L341" s="89"/>
    </row>
    <row r="342" spans="1:12" ht="13.8" thickBot="1" x14ac:dyDescent="0.3">
      <c r="A342" s="115" t="str">
        <f>IF($A337&lt;&gt;0,"Lot " &amp; VLOOKUP($A337,Liste!$A$10:$W$59,12,FALSE),"")</f>
        <v xml:space="preserve">Lot </v>
      </c>
      <c r="B342" s="111">
        <f>IF($A337&lt;&gt;0,VLOOKUP($A337,Liste!$A$10:$W$59,13,FALSE),"")</f>
        <v>0</v>
      </c>
      <c r="C342" s="110">
        <f>IF($A337&lt;&gt;0,VLOOKUP($A337,Liste!$A$10:$W$59,14,FALSE),"")</f>
        <v>0</v>
      </c>
      <c r="D342" s="111"/>
      <c r="E342" s="116"/>
      <c r="F342" s="173"/>
      <c r="G342" s="122"/>
      <c r="H342" s="122"/>
      <c r="I342" s="122"/>
      <c r="J342" s="122"/>
      <c r="K342" s="122"/>
      <c r="L342" s="128"/>
    </row>
    <row r="343" spans="1:12" x14ac:dyDescent="0.25">
      <c r="A343" s="125" t="str">
        <f>IF($A337&lt;&gt;0,"Lot " &amp; VLOOKUP($A337,Liste!$A$10:$W$59,15,FALSE),"")</f>
        <v xml:space="preserve">Lot </v>
      </c>
      <c r="B343" s="119">
        <f>IF($A337&lt;&gt;0,VLOOKUP($A337,Liste!$A$10:$W$59,16,FALSE),"")</f>
        <v>0</v>
      </c>
      <c r="C343" s="119">
        <f>IF($A337&lt;&gt;0,VLOOKUP($A337,Liste!$A$10:$W$59,17,FALSE),"")</f>
        <v>0</v>
      </c>
      <c r="D343" s="119"/>
      <c r="E343" s="125"/>
      <c r="F343" s="168"/>
      <c r="G343" s="168" t="s">
        <v>159</v>
      </c>
      <c r="H343" s="174" t="s">
        <v>160</v>
      </c>
      <c r="I343" s="84"/>
      <c r="J343" s="84"/>
      <c r="K343" s="84"/>
      <c r="L343" s="108"/>
    </row>
    <row r="344" spans="1:12" x14ac:dyDescent="0.25">
      <c r="A344" s="125" t="str">
        <f>IF($A337&lt;&gt;0,"Lot " &amp; VLOOKUP($A337,Liste!$A$10:$W$59,18,FALSE),"")</f>
        <v xml:space="preserve">Lot </v>
      </c>
      <c r="B344" s="119">
        <f>IF($A337&lt;&gt;0,VLOOKUP($A337,Liste!$A$10:$W$59,19,FALSE),"")</f>
        <v>0</v>
      </c>
      <c r="C344" s="119">
        <f>IF($A337&lt;&gt;0,VLOOKUP($A337,Liste!$A$10:$W$59,19,FALSE),"")</f>
        <v>0</v>
      </c>
      <c r="F344" s="169"/>
      <c r="G344" s="169" t="s">
        <v>161</v>
      </c>
      <c r="H344" s="174" t="s">
        <v>160</v>
      </c>
      <c r="I344" s="167"/>
      <c r="J344" s="167"/>
      <c r="K344" s="167"/>
      <c r="L344" s="176"/>
    </row>
    <row r="345" spans="1:12" ht="13.8" thickBot="1" x14ac:dyDescent="0.3">
      <c r="A345" s="124" t="str">
        <f>IF($A337&lt;&gt;0,"Lot " &amp; VLOOKUP($A337,Liste!$A$10:$W$59,21,FALSE),"")</f>
        <v xml:space="preserve">Lot </v>
      </c>
      <c r="B345" s="123">
        <f>IF($A337&lt;&gt;0,VLOOKUP($A337,Liste!$A$10:$W$59,22,FALSE),"")</f>
        <v>0</v>
      </c>
      <c r="C345" s="123">
        <f>IF($A337&lt;&gt;0,VLOOKUP($A337,Liste!$A$10:$W$59,23,FALSE),"")</f>
        <v>0</v>
      </c>
      <c r="D345" s="122"/>
      <c r="E345" s="122"/>
      <c r="F345" s="122"/>
      <c r="G345" s="226" t="str">
        <f>IF(OR(B338=0,VLOOKUP(A337,Liste!$A$10:'Liste'!$Z$59,26)&lt;&gt;""),"", "Voir autorisation messages électroniques")</f>
        <v/>
      </c>
      <c r="H345" s="226"/>
      <c r="I345" s="226"/>
      <c r="J345" s="122"/>
      <c r="K345" s="122"/>
      <c r="L345" s="128"/>
    </row>
    <row r="346" spans="1:12" ht="20.25" customHeight="1" x14ac:dyDescent="0.25">
      <c r="A346" s="120">
        <f>IF(A337&lt;Liste!$D$2,A337+1,"")</f>
        <v>36</v>
      </c>
      <c r="B346" s="121"/>
      <c r="C346" s="82"/>
      <c r="D346" s="82"/>
      <c r="E346" s="82"/>
      <c r="F346" s="183"/>
      <c r="G346" s="181" t="s">
        <v>162</v>
      </c>
      <c r="H346" s="166"/>
      <c r="I346" s="166"/>
      <c r="J346" s="166"/>
      <c r="K346" s="166"/>
      <c r="L346" s="175"/>
    </row>
    <row r="347" spans="1:12" ht="18" thickBot="1" x14ac:dyDescent="0.35">
      <c r="A347" s="83">
        <f>IF($A346&lt;&gt;0,VLOOKUP($A346,Liste!$A$10:$W$59,3,FALSE),"")</f>
        <v>0</v>
      </c>
      <c r="B347" s="185">
        <f>IF($A346&lt;&gt;0,VLOOKUP($A346,Liste!$A$10:$W$59,4,FALSE),"")</f>
        <v>0</v>
      </c>
      <c r="E347" s="109" t="str">
        <f>IF($A346&lt;&gt;0,VLOOKUP($A346,Liste!$A$10:$W$59,8,FALSE),"")</f>
        <v/>
      </c>
      <c r="F347" s="184"/>
      <c r="G347" s="182" t="s">
        <v>158</v>
      </c>
      <c r="H347" s="106"/>
      <c r="I347" s="106"/>
      <c r="J347" s="106"/>
      <c r="K347" s="106"/>
      <c r="L347" s="26"/>
    </row>
    <row r="348" spans="1:12" x14ac:dyDescent="0.25">
      <c r="A348" s="114">
        <f>IF($A346&lt;&gt;0,VLOOKUP($A346,Liste!$A$10:$W$59,5,FALSE),"")</f>
        <v>0</v>
      </c>
      <c r="F348" s="170"/>
      <c r="G348" s="171" t="s">
        <v>163</v>
      </c>
      <c r="H348" s="171"/>
      <c r="I348" s="171"/>
      <c r="J348" s="171"/>
      <c r="K348" s="171"/>
      <c r="L348" s="127"/>
    </row>
    <row r="349" spans="1:12" x14ac:dyDescent="0.25">
      <c r="A349" s="114">
        <f>IF($A346&lt;&gt;0,VLOOKUP($A346,Liste!$A$10:$W$59,6,FALSE),"")</f>
        <v>0</v>
      </c>
      <c r="B349" s="107">
        <f>IF($A346&lt;&gt;0,VLOOKUP($A346,Liste!$A$10:$W$59,7,FALSE),"")</f>
        <v>0</v>
      </c>
      <c r="F349" s="172"/>
      <c r="G349" s="82"/>
      <c r="H349" s="82"/>
      <c r="I349" s="82"/>
      <c r="J349" s="82"/>
      <c r="K349" s="82"/>
      <c r="L349" s="89"/>
    </row>
    <row r="350" spans="1:12" x14ac:dyDescent="0.25">
      <c r="A350" s="115" t="str">
        <f xml:space="preserve"> IF($A346&lt;&gt;0, "Lot " &amp; VLOOKUP($A346,Liste!$A$10:$W$59,9,FALSE),"")</f>
        <v xml:space="preserve">Lot </v>
      </c>
      <c r="B350" s="111">
        <f>IF($A346&lt;&gt;0,VLOOKUP($A346,Liste!$A$10:$W$59,10,FALSE),"")</f>
        <v>0</v>
      </c>
      <c r="C350" s="110">
        <f>IF($A346&lt;&gt;0,VLOOKUP($A346,Liste!$A$10:$W$59,11,FALSE),"")</f>
        <v>0</v>
      </c>
      <c r="F350" s="172"/>
      <c r="G350" s="82"/>
      <c r="H350" s="82"/>
      <c r="I350" s="82"/>
      <c r="J350" s="82"/>
      <c r="K350" s="82"/>
      <c r="L350" s="89"/>
    </row>
    <row r="351" spans="1:12" ht="13.8" thickBot="1" x14ac:dyDescent="0.3">
      <c r="A351" s="115" t="str">
        <f>IF($A346&lt;&gt;0,"Lot " &amp; VLOOKUP($A346,Liste!$A$10:$W$59,12,FALSE),"")</f>
        <v xml:space="preserve">Lot </v>
      </c>
      <c r="B351" s="111">
        <f>IF($A346&lt;&gt;0,VLOOKUP($A346,Liste!$A$10:$W$59,13,FALSE),"")</f>
        <v>0</v>
      </c>
      <c r="C351" s="110">
        <f>IF($A346&lt;&gt;0,VLOOKUP($A346,Liste!$A$10:$W$59,14,FALSE),"")</f>
        <v>0</v>
      </c>
      <c r="D351" s="111"/>
      <c r="E351" s="116"/>
      <c r="F351" s="173"/>
      <c r="G351" s="122"/>
      <c r="H351" s="122"/>
      <c r="I351" s="122"/>
      <c r="J351" s="122"/>
      <c r="K351" s="122"/>
      <c r="L351" s="128"/>
    </row>
    <row r="352" spans="1:12" x14ac:dyDescent="0.25">
      <c r="A352" s="125" t="str">
        <f>IF($A346&lt;&gt;0,"Lot " &amp; VLOOKUP($A346,Liste!$A$10:$W$59,15,FALSE),"")</f>
        <v xml:space="preserve">Lot </v>
      </c>
      <c r="B352" s="119">
        <f>IF($A346&lt;&gt;0,VLOOKUP($A346,Liste!$A$10:$W$59,16,FALSE),"")</f>
        <v>0</v>
      </c>
      <c r="C352" s="119">
        <f>IF($A346&lt;&gt;0,VLOOKUP($A346,Liste!$A$10:$W$59,17,FALSE),"")</f>
        <v>0</v>
      </c>
      <c r="D352" s="119"/>
      <c r="E352" s="125"/>
      <c r="F352" s="168"/>
      <c r="G352" s="168" t="s">
        <v>159</v>
      </c>
      <c r="H352" s="174" t="s">
        <v>160</v>
      </c>
      <c r="I352" s="84"/>
      <c r="J352" s="84"/>
      <c r="K352" s="84"/>
      <c r="L352" s="108"/>
    </row>
    <row r="353" spans="1:12" x14ac:dyDescent="0.25">
      <c r="A353" s="125" t="str">
        <f>IF($A346&lt;&gt;0,"Lot " &amp; VLOOKUP($A346,Liste!$A$10:$W$59,18,FALSE),"")</f>
        <v xml:space="preserve">Lot </v>
      </c>
      <c r="B353" s="119">
        <f>IF($A346&lt;&gt;0,VLOOKUP($A346,Liste!$A$10:$W$59,19,FALSE),"")</f>
        <v>0</v>
      </c>
      <c r="C353" s="119">
        <f>IF($A346&lt;&gt;0,VLOOKUP($A346,Liste!$A$10:$W$59,19,FALSE),"")</f>
        <v>0</v>
      </c>
      <c r="F353" s="169"/>
      <c r="G353" s="169" t="s">
        <v>161</v>
      </c>
      <c r="H353" s="174" t="s">
        <v>160</v>
      </c>
      <c r="I353" s="167"/>
      <c r="J353" s="167"/>
      <c r="K353" s="167"/>
      <c r="L353" s="176"/>
    </row>
    <row r="354" spans="1:12" ht="13.8" thickBot="1" x14ac:dyDescent="0.3">
      <c r="A354" s="124" t="str">
        <f>IF($A346&lt;&gt;0,"Lot " &amp; VLOOKUP($A346,Liste!$A$10:$W$59,21,FALSE),"")</f>
        <v xml:space="preserve">Lot </v>
      </c>
      <c r="B354" s="123">
        <f>IF($A346&lt;&gt;0,VLOOKUP($A346,Liste!$A$10:$W$59,22,FALSE),"")</f>
        <v>0</v>
      </c>
      <c r="C354" s="123">
        <f>IF($A346&lt;&gt;0,VLOOKUP($A346,Liste!$A$10:$W$59,23,FALSE),"")</f>
        <v>0</v>
      </c>
      <c r="D354" s="122"/>
      <c r="E354" s="122"/>
      <c r="F354" s="122"/>
      <c r="G354" s="226" t="str">
        <f>IF(OR(B347=0,VLOOKUP(A346,Liste!$A$10:'Liste'!$Z$59,26)&lt;&gt;""),"", "Voir autorisation messages électroniques")</f>
        <v/>
      </c>
      <c r="H354" s="226"/>
      <c r="I354" s="226"/>
      <c r="J354" s="122"/>
      <c r="K354" s="122"/>
      <c r="L354" s="128"/>
    </row>
    <row r="355" spans="1:12" x14ac:dyDescent="0.25">
      <c r="L355" s="82"/>
    </row>
    <row r="356" spans="1:12" ht="17.399999999999999" x14ac:dyDescent="0.3">
      <c r="D356" s="112" t="s">
        <v>93</v>
      </c>
      <c r="E356" s="112"/>
      <c r="F356" s="112"/>
      <c r="K356" s="133" t="s">
        <v>98</v>
      </c>
      <c r="L356" s="177">
        <f>L297+1</f>
        <v>7</v>
      </c>
    </row>
    <row r="357" spans="1:12" x14ac:dyDescent="0.25">
      <c r="E357" s="133" t="s">
        <v>114</v>
      </c>
      <c r="F357" s="133"/>
      <c r="G357" s="152">
        <f>IF(A360&gt;0,Liste!$C$1,"")</f>
        <v>44084</v>
      </c>
    </row>
    <row r="358" spans="1:12" x14ac:dyDescent="0.25">
      <c r="D358" t="str">
        <f>IF(A360&gt;0,Liste!$C$3&amp;"; "&amp;Liste!$C$4&amp;" "&amp;Liste!$C$5,"""")</f>
        <v>Résidence Le Paradis; Rue de l' espoir 75016 PARIS</v>
      </c>
      <c r="E358" s="152"/>
      <c r="F358" s="152"/>
      <c r="G358" s="152"/>
    </row>
    <row r="359" spans="1:12" ht="13.8" thickBot="1" x14ac:dyDescent="0.3">
      <c r="A359" s="84"/>
      <c r="B359" s="84"/>
      <c r="C359" s="84"/>
      <c r="D359" s="84"/>
      <c r="E359" s="84"/>
      <c r="F359" s="84"/>
      <c r="G359" s="84"/>
    </row>
    <row r="360" spans="1:12" ht="15.75" customHeight="1" x14ac:dyDescent="0.25">
      <c r="A360" s="120">
        <f>A346+1</f>
        <v>37</v>
      </c>
      <c r="B360" s="121"/>
      <c r="C360" s="82"/>
      <c r="D360" s="82"/>
      <c r="E360" s="82"/>
      <c r="F360" s="183"/>
      <c r="G360" s="181" t="s">
        <v>162</v>
      </c>
      <c r="H360" s="166"/>
      <c r="I360" s="166"/>
      <c r="J360" s="166"/>
      <c r="K360" s="166"/>
      <c r="L360" s="175"/>
    </row>
    <row r="361" spans="1:12" ht="18" thickBot="1" x14ac:dyDescent="0.35">
      <c r="A361" s="83">
        <f>IF($A360&lt;&gt;0,VLOOKUP($A360,Liste!$A$10:$W$59,3,FALSE),"")</f>
        <v>0</v>
      </c>
      <c r="B361" s="185">
        <f>IF($A360&lt;&gt;0,VLOOKUP($A360,Liste!$A$10:$W$59,4,FALSE),"")</f>
        <v>0</v>
      </c>
      <c r="E361" s="109" t="str">
        <f>IF($A360&lt;&gt;0,VLOOKUP($A360,Liste!$A$10:$W$59,8,FALSE),"")</f>
        <v/>
      </c>
      <c r="F361" s="184"/>
      <c r="G361" s="182" t="s">
        <v>158</v>
      </c>
      <c r="H361" s="106"/>
      <c r="I361" s="106"/>
      <c r="J361" s="106"/>
      <c r="K361" s="106"/>
      <c r="L361" s="26"/>
    </row>
    <row r="362" spans="1:12" x14ac:dyDescent="0.25">
      <c r="A362" s="114">
        <f>IF($A360&lt;&gt;0,VLOOKUP($A360,Liste!$A$10:$W$59,5,FALSE),"")</f>
        <v>0</v>
      </c>
      <c r="F362" s="170"/>
      <c r="G362" s="171" t="s">
        <v>163</v>
      </c>
      <c r="H362" s="171"/>
      <c r="I362" s="171"/>
      <c r="J362" s="171"/>
      <c r="K362" s="171"/>
      <c r="L362" s="127"/>
    </row>
    <row r="363" spans="1:12" x14ac:dyDescent="0.25">
      <c r="A363" s="114">
        <f>IF($A360&lt;&gt;0,VLOOKUP($A360,Liste!$A$10:$W$59,6,FALSE),"")</f>
        <v>0</v>
      </c>
      <c r="B363" s="107">
        <f>IF($A360&lt;&gt;0,VLOOKUP($A360,Liste!$A$10:$W$59,7,FALSE),"")</f>
        <v>0</v>
      </c>
      <c r="F363" s="172"/>
      <c r="G363" s="82"/>
      <c r="H363" s="82"/>
      <c r="I363" s="82"/>
      <c r="J363" s="82"/>
      <c r="K363" s="82"/>
      <c r="L363" s="89"/>
    </row>
    <row r="364" spans="1:12" x14ac:dyDescent="0.25">
      <c r="A364" s="115" t="str">
        <f xml:space="preserve"> IF($A360&lt;&gt;0, "Lot " &amp; VLOOKUP($A360,Liste!$A$10:$W$59,9,FALSE),"")</f>
        <v xml:space="preserve">Lot </v>
      </c>
      <c r="B364" s="111">
        <f>IF($A360&lt;&gt;0,VLOOKUP($A360,Liste!$A$10:$W$59,10,FALSE),"")</f>
        <v>0</v>
      </c>
      <c r="C364" s="110">
        <f>IF($A360&lt;&gt;0,VLOOKUP($A360,Liste!$A$10:$W$59,11,FALSE),"")</f>
        <v>0</v>
      </c>
      <c r="F364" s="172"/>
      <c r="G364" s="82"/>
      <c r="H364" s="82"/>
      <c r="I364" s="82"/>
      <c r="J364" s="82"/>
      <c r="K364" s="82"/>
      <c r="L364" s="89"/>
    </row>
    <row r="365" spans="1:12" ht="13.8" thickBot="1" x14ac:dyDescent="0.3">
      <c r="A365" s="115" t="str">
        <f>IF($A360&lt;&gt;0,"Lot " &amp; VLOOKUP($A360,Liste!$A$10:$W$59,12,FALSE),"")</f>
        <v xml:space="preserve">Lot </v>
      </c>
      <c r="B365" s="111">
        <f>IF($A360&lt;&gt;0,VLOOKUP($A360,Liste!$A$10:$W$59,13,FALSE),"")</f>
        <v>0</v>
      </c>
      <c r="C365" s="110">
        <f>IF($A360&lt;&gt;0,VLOOKUP($A360,Liste!$A$10:$W$59,14,FALSE),"")</f>
        <v>0</v>
      </c>
      <c r="D365" s="111"/>
      <c r="E365" s="116"/>
      <c r="F365" s="173"/>
      <c r="G365" s="122"/>
      <c r="H365" s="122"/>
      <c r="I365" s="122"/>
      <c r="J365" s="122"/>
      <c r="K365" s="122"/>
      <c r="L365" s="128"/>
    </row>
    <row r="366" spans="1:12" x14ac:dyDescent="0.25">
      <c r="A366" s="125" t="str">
        <f>IF($A360&lt;&gt;0,"Lot " &amp; VLOOKUP($A360,Liste!$A$10:$W$59,15,FALSE),"")</f>
        <v xml:space="preserve">Lot </v>
      </c>
      <c r="B366" s="119">
        <f>IF($A360&lt;&gt;0,VLOOKUP($A360,Liste!$A$10:$W$59,16,FALSE),"")</f>
        <v>0</v>
      </c>
      <c r="C366" s="119">
        <f>IF($A360&lt;&gt;0,VLOOKUP($A360,Liste!$A$10:$W$59,17,FALSE),"")</f>
        <v>0</v>
      </c>
      <c r="D366" s="119"/>
      <c r="E366" s="125"/>
      <c r="F366" s="168"/>
      <c r="G366" s="168" t="s">
        <v>159</v>
      </c>
      <c r="H366" s="174" t="s">
        <v>160</v>
      </c>
      <c r="I366" s="84"/>
      <c r="J366" s="84"/>
      <c r="K366" s="84"/>
      <c r="L366" s="108"/>
    </row>
    <row r="367" spans="1:12" x14ac:dyDescent="0.25">
      <c r="A367" s="125" t="str">
        <f>IF($A360&lt;&gt;0,"Lot " &amp; VLOOKUP($A360,Liste!$A$10:$W$59,18,FALSE),"")</f>
        <v xml:space="preserve">Lot </v>
      </c>
      <c r="B367" s="119">
        <f>IF($A360&lt;&gt;0,VLOOKUP($A360,Liste!$A$10:$W$59,19,FALSE),"")</f>
        <v>0</v>
      </c>
      <c r="C367" s="119">
        <f>IF($A360&lt;&gt;0,VLOOKUP($A360,Liste!$A$10:$W$59,19,FALSE),"")</f>
        <v>0</v>
      </c>
      <c r="F367" s="169"/>
      <c r="G367" s="169" t="s">
        <v>161</v>
      </c>
      <c r="H367" s="174" t="s">
        <v>160</v>
      </c>
      <c r="I367" s="167"/>
      <c r="J367" s="167"/>
      <c r="K367" s="167"/>
      <c r="L367" s="176"/>
    </row>
    <row r="368" spans="1:12" ht="13.8" thickBot="1" x14ac:dyDescent="0.3">
      <c r="A368" s="124" t="str">
        <f>IF($A360&lt;&gt;0,"Lot " &amp; VLOOKUP($A360,Liste!$A$10:$W$59,21,FALSE),"")</f>
        <v xml:space="preserve">Lot </v>
      </c>
      <c r="B368" s="123">
        <f>IF($A360&lt;&gt;0,VLOOKUP($A360,Liste!$A$10:$W$59,22,FALSE),"")</f>
        <v>0</v>
      </c>
      <c r="C368" s="123">
        <f>IF($A360&lt;&gt;0,VLOOKUP($A360,Liste!$A$10:$W$59,23,FALSE),"")</f>
        <v>0</v>
      </c>
      <c r="D368" s="122"/>
      <c r="E368" s="122"/>
      <c r="F368" s="122"/>
      <c r="G368" s="226" t="str">
        <f>IF(OR(B361=0,VLOOKUP(A360,Liste!$A$10:'Liste'!$Z$59,26)&lt;&gt;""),"", "Voir autorisation messages électroniques")</f>
        <v/>
      </c>
      <c r="H368" s="226"/>
      <c r="I368" s="226"/>
      <c r="J368" s="122"/>
      <c r="K368" s="122"/>
      <c r="L368" s="128"/>
    </row>
    <row r="369" spans="1:12" ht="18.75" customHeight="1" x14ac:dyDescent="0.25">
      <c r="A369" s="120">
        <f>A360+1</f>
        <v>38</v>
      </c>
      <c r="B369" s="121"/>
      <c r="C369" s="82"/>
      <c r="D369" s="82"/>
      <c r="E369" s="82"/>
      <c r="F369" s="183"/>
      <c r="G369" s="181" t="s">
        <v>162</v>
      </c>
      <c r="H369" s="166"/>
      <c r="I369" s="166"/>
      <c r="J369" s="166"/>
      <c r="K369" s="166"/>
      <c r="L369" s="175"/>
    </row>
    <row r="370" spans="1:12" ht="18" thickBot="1" x14ac:dyDescent="0.35">
      <c r="A370" s="83">
        <f>IF($A369&lt;&gt;0,VLOOKUP($A369,Liste!$A$10:$W$59,3,FALSE),"")</f>
        <v>0</v>
      </c>
      <c r="B370" s="185">
        <f>IF($A369&lt;&gt;0,VLOOKUP($A369,Liste!$A$10:$W$59,4,FALSE),"")</f>
        <v>0</v>
      </c>
      <c r="E370" s="109" t="str">
        <f>IF($A369&lt;&gt;0,VLOOKUP($A369,Liste!$A$10:$W$59,8,FALSE),"")</f>
        <v/>
      </c>
      <c r="F370" s="184"/>
      <c r="G370" s="182" t="s">
        <v>158</v>
      </c>
      <c r="H370" s="106"/>
      <c r="I370" s="106"/>
      <c r="J370" s="106"/>
      <c r="K370" s="106"/>
      <c r="L370" s="26"/>
    </row>
    <row r="371" spans="1:12" x14ac:dyDescent="0.25">
      <c r="A371" s="114">
        <f>IF($A369&lt;&gt;0,VLOOKUP($A369,Liste!$A$10:$W$59,5,FALSE),"")</f>
        <v>0</v>
      </c>
      <c r="F371" s="170"/>
      <c r="G371" s="171" t="s">
        <v>163</v>
      </c>
      <c r="H371" s="171"/>
      <c r="I371" s="171"/>
      <c r="J371" s="171"/>
      <c r="K371" s="171"/>
      <c r="L371" s="127"/>
    </row>
    <row r="372" spans="1:12" x14ac:dyDescent="0.25">
      <c r="A372" s="114">
        <f>IF($A369&lt;&gt;0,VLOOKUP($A369,Liste!$A$10:$W$59,6,FALSE),"")</f>
        <v>0</v>
      </c>
      <c r="B372" s="107">
        <f>IF($A369&lt;&gt;0,VLOOKUP($A369,Liste!$A$10:$W$59,7,FALSE),"")</f>
        <v>0</v>
      </c>
      <c r="F372" s="172"/>
      <c r="G372" s="82"/>
      <c r="H372" s="82"/>
      <c r="I372" s="82"/>
      <c r="J372" s="82"/>
      <c r="K372" s="82"/>
      <c r="L372" s="89"/>
    </row>
    <row r="373" spans="1:12" x14ac:dyDescent="0.25">
      <c r="A373" s="115" t="str">
        <f xml:space="preserve"> IF($A369&lt;&gt;0, "Lot " &amp; VLOOKUP($A369,Liste!$A$10:$W$59,9,FALSE),"")</f>
        <v xml:space="preserve">Lot </v>
      </c>
      <c r="B373" s="111">
        <f>IF($A369&lt;&gt;0,VLOOKUP($A369,Liste!$A$10:$W$59,10,FALSE),"")</f>
        <v>0</v>
      </c>
      <c r="C373" s="110">
        <f>IF($A369&lt;&gt;0,VLOOKUP($A369,Liste!$A$10:$W$59,11,FALSE),"")</f>
        <v>0</v>
      </c>
      <c r="F373" s="172"/>
      <c r="G373" s="82"/>
      <c r="H373" s="82"/>
      <c r="I373" s="82"/>
      <c r="J373" s="82"/>
      <c r="K373" s="82"/>
      <c r="L373" s="89"/>
    </row>
    <row r="374" spans="1:12" ht="13.8" thickBot="1" x14ac:dyDescent="0.3">
      <c r="A374" s="115" t="str">
        <f>IF($A369&lt;&gt;0,"Lot " &amp; VLOOKUP($A369,Liste!$A$10:$W$59,12,FALSE),"")</f>
        <v xml:space="preserve">Lot </v>
      </c>
      <c r="B374" s="111">
        <f>IF($A369&lt;&gt;0,VLOOKUP($A369,Liste!$A$10:$W$59,13,FALSE),"")</f>
        <v>0</v>
      </c>
      <c r="C374" s="110">
        <f>IF($A369&lt;&gt;0,VLOOKUP($A369,Liste!$A$10:$W$59,14,FALSE),"")</f>
        <v>0</v>
      </c>
      <c r="D374" s="111"/>
      <c r="E374" s="116"/>
      <c r="F374" s="173"/>
      <c r="G374" s="122"/>
      <c r="H374" s="122"/>
      <c r="I374" s="122"/>
      <c r="J374" s="122"/>
      <c r="K374" s="122"/>
      <c r="L374" s="128"/>
    </row>
    <row r="375" spans="1:12" x14ac:dyDescent="0.25">
      <c r="A375" s="125" t="str">
        <f>IF($A369&lt;&gt;0,"Lot " &amp; VLOOKUP($A369,Liste!$A$10:$W$59,15,FALSE),"")</f>
        <v xml:space="preserve">Lot </v>
      </c>
      <c r="B375" s="119">
        <f>IF($A369&lt;&gt;0,VLOOKUP($A369,Liste!$A$10:$W$59,16,FALSE),"")</f>
        <v>0</v>
      </c>
      <c r="C375" s="119">
        <f>IF($A369&lt;&gt;0,VLOOKUP($A369,Liste!$A$10:$W$59,17,FALSE),"")</f>
        <v>0</v>
      </c>
      <c r="D375" s="119"/>
      <c r="E375" s="125"/>
      <c r="F375" s="168"/>
      <c r="G375" s="168" t="s">
        <v>159</v>
      </c>
      <c r="H375" s="174" t="s">
        <v>160</v>
      </c>
      <c r="I375" s="84"/>
      <c r="J375" s="84"/>
      <c r="K375" s="84"/>
      <c r="L375" s="108"/>
    </row>
    <row r="376" spans="1:12" x14ac:dyDescent="0.25">
      <c r="A376" s="125" t="str">
        <f>IF($A369&lt;&gt;0,"Lot " &amp; VLOOKUP($A369,Liste!$A$10:$W$59,18,FALSE),"")</f>
        <v xml:space="preserve">Lot </v>
      </c>
      <c r="B376" s="119">
        <f>IF($A369&lt;&gt;0,VLOOKUP($A369,Liste!$A$10:$W$59,19,FALSE),"")</f>
        <v>0</v>
      </c>
      <c r="C376" s="119">
        <f>IF($A369&lt;&gt;0,VLOOKUP($A369,Liste!$A$10:$W$59,20,FALSE),"")</f>
        <v>0</v>
      </c>
      <c r="F376" s="169"/>
      <c r="G376" s="169" t="s">
        <v>161</v>
      </c>
      <c r="H376" s="174" t="s">
        <v>160</v>
      </c>
      <c r="I376" s="167"/>
      <c r="J376" s="167"/>
      <c r="K376" s="167"/>
      <c r="L376" s="176"/>
    </row>
    <row r="377" spans="1:12" ht="13.8" thickBot="1" x14ac:dyDescent="0.3">
      <c r="A377" s="124" t="str">
        <f>IF($A369&lt;&gt;0,"Lot " &amp; VLOOKUP($A369,Liste!$A$10:$W$59,21,FALSE),"")</f>
        <v xml:space="preserve">Lot </v>
      </c>
      <c r="B377" s="123">
        <f>IF($A369&lt;&gt;0,VLOOKUP($A369,Liste!$A$10:$W$59,22,FALSE),"")</f>
        <v>0</v>
      </c>
      <c r="C377" s="123">
        <f>IF($A369&lt;&gt;0,VLOOKUP($A369,Liste!$A$10:$W$59,23,FALSE),"")</f>
        <v>0</v>
      </c>
      <c r="D377" s="122"/>
      <c r="E377" s="122"/>
      <c r="F377" s="122"/>
      <c r="G377" s="226" t="str">
        <f>IF(OR(B370=0,VLOOKUP(A369,Liste!$A$10:'Liste'!$Z$59,26)&lt;&gt;""),"", "Voir autorisation messages électroniques")</f>
        <v/>
      </c>
      <c r="H377" s="226"/>
      <c r="I377" s="226"/>
      <c r="J377" s="122"/>
      <c r="K377" s="122"/>
      <c r="L377" s="128"/>
    </row>
    <row r="378" spans="1:12" ht="15.75" customHeight="1" x14ac:dyDescent="0.25">
      <c r="A378" s="120">
        <f>A369+1</f>
        <v>39</v>
      </c>
      <c r="B378" s="121"/>
      <c r="C378" s="82"/>
      <c r="D378" s="82"/>
      <c r="E378" s="82"/>
      <c r="F378" s="183"/>
      <c r="G378" s="181" t="s">
        <v>162</v>
      </c>
      <c r="H378" s="166"/>
      <c r="I378" s="166"/>
      <c r="J378" s="166"/>
      <c r="K378" s="166"/>
      <c r="L378" s="175"/>
    </row>
    <row r="379" spans="1:12" ht="18" thickBot="1" x14ac:dyDescent="0.35">
      <c r="A379" s="83">
        <f>IF($A378&lt;&gt;0,VLOOKUP($A378,Liste!$A$10:$W$59,3,FALSE),"")</f>
        <v>0</v>
      </c>
      <c r="B379" s="185">
        <f>IF($A378&lt;&gt;0,VLOOKUP($A378,Liste!$A$10:$W$59,4,FALSE),"")</f>
        <v>0</v>
      </c>
      <c r="E379" s="109" t="str">
        <f>IF($A378&lt;&gt;0,VLOOKUP($A378,Liste!$A$10:$W$59,8,FALSE),"")</f>
        <v/>
      </c>
      <c r="F379" s="184"/>
      <c r="G379" s="182" t="s">
        <v>158</v>
      </c>
      <c r="H379" s="106"/>
      <c r="I379" s="106"/>
      <c r="J379" s="106"/>
      <c r="K379" s="106"/>
      <c r="L379" s="26"/>
    </row>
    <row r="380" spans="1:12" x14ac:dyDescent="0.25">
      <c r="A380" s="114">
        <f>IF($A378&lt;&gt;0,VLOOKUP($A378,Liste!$A$10:$W$59,5,FALSE),"")</f>
        <v>0</v>
      </c>
      <c r="F380" s="170"/>
      <c r="G380" s="171" t="s">
        <v>163</v>
      </c>
      <c r="H380" s="171"/>
      <c r="I380" s="171"/>
      <c r="J380" s="171"/>
      <c r="K380" s="171"/>
      <c r="L380" s="127"/>
    </row>
    <row r="381" spans="1:12" x14ac:dyDescent="0.25">
      <c r="A381" s="114">
        <f>IF($A378&lt;&gt;0,VLOOKUP($A378,Liste!$A$10:$W$59,6,FALSE),"")</f>
        <v>0</v>
      </c>
      <c r="B381" s="107">
        <f>IF($A378&lt;&gt;0,VLOOKUP($A378,Liste!$A$10:$W$59,7,FALSE),"")</f>
        <v>0</v>
      </c>
      <c r="F381" s="172"/>
      <c r="G381" s="82"/>
      <c r="H381" s="82"/>
      <c r="I381" s="82"/>
      <c r="J381" s="82"/>
      <c r="K381" s="82"/>
      <c r="L381" s="89"/>
    </row>
    <row r="382" spans="1:12" x14ac:dyDescent="0.25">
      <c r="A382" s="115" t="str">
        <f xml:space="preserve"> IF($A378&lt;&gt;0, "Lot " &amp; VLOOKUP($A378,Liste!$A$10:$W$59,9,FALSE),"")</f>
        <v xml:space="preserve">Lot </v>
      </c>
      <c r="B382" s="111">
        <f>IF($A378&lt;&gt;0,VLOOKUP($A378,Liste!$A$10:$W$59,10,FALSE),"")</f>
        <v>0</v>
      </c>
      <c r="C382" s="110">
        <f>IF($A378&lt;&gt;0,VLOOKUP($A378,Liste!$A$10:$W$59,11,FALSE),"")</f>
        <v>0</v>
      </c>
      <c r="F382" s="172"/>
      <c r="G382" s="82"/>
      <c r="H382" s="82"/>
      <c r="I382" s="82"/>
      <c r="J382" s="82"/>
      <c r="K382" s="82"/>
      <c r="L382" s="89"/>
    </row>
    <row r="383" spans="1:12" ht="13.8" thickBot="1" x14ac:dyDescent="0.3">
      <c r="A383" s="115" t="str">
        <f>IF($A378&lt;&gt;0,"Lot " &amp; VLOOKUP($A378,Liste!$A$10:$W$59,12,FALSE),"")</f>
        <v xml:space="preserve">Lot </v>
      </c>
      <c r="B383" s="111">
        <f>IF($A378&lt;&gt;0,VLOOKUP($A378,Liste!$A$10:$W$59,13,FALSE),"")</f>
        <v>0</v>
      </c>
      <c r="C383" s="110">
        <f>IF($A378&lt;&gt;0,VLOOKUP($A378,Liste!$A$10:$W$59,14,FALSE),"")</f>
        <v>0</v>
      </c>
      <c r="D383" s="111"/>
      <c r="E383" s="116"/>
      <c r="F383" s="173"/>
      <c r="G383" s="122"/>
      <c r="H383" s="122"/>
      <c r="I383" s="122"/>
      <c r="J383" s="122"/>
      <c r="K383" s="122"/>
      <c r="L383" s="128"/>
    </row>
    <row r="384" spans="1:12" x14ac:dyDescent="0.25">
      <c r="A384" s="125" t="str">
        <f>IF($A378&lt;&gt;0,"Lot " &amp; VLOOKUP($A378,Liste!$A$10:$W$59,15,FALSE),"")</f>
        <v xml:space="preserve">Lot </v>
      </c>
      <c r="B384" s="119">
        <f>IF($A378&lt;&gt;0,VLOOKUP($A378,Liste!$A$10:$W$59,16,FALSE),"")</f>
        <v>0</v>
      </c>
      <c r="C384" s="119">
        <f>IF($A378&lt;&gt;0,VLOOKUP($A378,Liste!$A$10:$W$59,17,FALSE),"")</f>
        <v>0</v>
      </c>
      <c r="D384" s="119"/>
      <c r="E384" s="125"/>
      <c r="F384" s="168"/>
      <c r="G384" s="168" t="s">
        <v>159</v>
      </c>
      <c r="H384" s="174" t="s">
        <v>160</v>
      </c>
      <c r="I384" s="84"/>
      <c r="J384" s="84"/>
      <c r="K384" s="84"/>
      <c r="L384" s="108"/>
    </row>
    <row r="385" spans="1:12" x14ac:dyDescent="0.25">
      <c r="A385" s="125" t="str">
        <f>IF($A378&lt;&gt;0,"Lot " &amp; VLOOKUP($A378,Liste!$A$10:$W$59,18,FALSE),"")</f>
        <v xml:space="preserve">Lot </v>
      </c>
      <c r="B385" s="119">
        <f>IF($A378&lt;&gt;0,VLOOKUP($A378,Liste!$A$10:$W$59,19,FALSE),"")</f>
        <v>0</v>
      </c>
      <c r="C385" s="119">
        <f>IF($A378&lt;&gt;0,VLOOKUP($A378,Liste!$A$10:$W$59,20,FALSE),"")</f>
        <v>0</v>
      </c>
      <c r="F385" s="169"/>
      <c r="G385" s="169" t="s">
        <v>161</v>
      </c>
      <c r="H385" s="174" t="s">
        <v>160</v>
      </c>
      <c r="I385" s="167"/>
      <c r="J385" s="167"/>
      <c r="K385" s="167"/>
      <c r="L385" s="176"/>
    </row>
    <row r="386" spans="1:12" ht="13.8" thickBot="1" x14ac:dyDescent="0.3">
      <c r="A386" s="124" t="str">
        <f>IF($A378&lt;&gt;0,"Lot " &amp; VLOOKUP($A378,Liste!$A$10:$W$59,21,FALSE),"")</f>
        <v xml:space="preserve">Lot </v>
      </c>
      <c r="B386" s="123">
        <f>IF($A378&lt;&gt;0,VLOOKUP($A378,Liste!$A$10:$W$59,22,FALSE),"")</f>
        <v>0</v>
      </c>
      <c r="C386" s="123">
        <f>IF($A378&lt;&gt;0,VLOOKUP($A378,Liste!$A$10:$W$59,23,FALSE),"")</f>
        <v>0</v>
      </c>
      <c r="D386" s="122"/>
      <c r="E386" s="122"/>
      <c r="F386" s="122"/>
      <c r="G386" s="226" t="str">
        <f>IF(OR(B379=0,VLOOKUP(A378,Liste!$A$10:'Liste'!$Z$59,26)&lt;&gt;""),"", "Voir autorisation messages électroniques")</f>
        <v/>
      </c>
      <c r="H386" s="226"/>
      <c r="I386" s="226"/>
      <c r="J386" s="122"/>
      <c r="K386" s="122"/>
      <c r="L386" s="128"/>
    </row>
    <row r="387" spans="1:12" ht="21" customHeight="1" x14ac:dyDescent="0.25">
      <c r="A387" s="120">
        <f>A378+1</f>
        <v>40</v>
      </c>
      <c r="B387" s="121"/>
      <c r="C387" s="82"/>
      <c r="D387" s="82"/>
      <c r="E387" s="82"/>
      <c r="F387" s="183"/>
      <c r="G387" s="181" t="s">
        <v>162</v>
      </c>
      <c r="H387" s="166"/>
      <c r="I387" s="166"/>
      <c r="J387" s="166"/>
      <c r="K387" s="166"/>
      <c r="L387" s="175"/>
    </row>
    <row r="388" spans="1:12" ht="21.6" thickBot="1" x14ac:dyDescent="0.45">
      <c r="A388" s="83">
        <f>IF($A387&lt;&gt;0,VLOOKUP($A387,Liste!$A$10:$W$59,3,FALSE),"")</f>
        <v>0</v>
      </c>
      <c r="B388" s="186">
        <f>IF($A387&lt;&gt;0,VLOOKUP($A387,Liste!$A$10:$W$59,4,FALSE),"")</f>
        <v>0</v>
      </c>
      <c r="E388" s="109" t="str">
        <f>IF($A387&lt;&gt;0,VLOOKUP($A387,Liste!$A$10:$W$59,8,FALSE),"")</f>
        <v/>
      </c>
      <c r="F388" s="184"/>
      <c r="G388" s="182" t="s">
        <v>158</v>
      </c>
      <c r="H388" s="106"/>
      <c r="I388" s="106"/>
      <c r="J388" s="106"/>
      <c r="K388" s="106"/>
      <c r="L388" s="26"/>
    </row>
    <row r="389" spans="1:12" x14ac:dyDescent="0.25">
      <c r="A389" s="114">
        <f>IF($A387&lt;&gt;0,VLOOKUP($A387,Liste!$A$10:$W$59,5,FALSE),"")</f>
        <v>0</v>
      </c>
      <c r="F389" s="170"/>
      <c r="G389" s="171" t="s">
        <v>163</v>
      </c>
      <c r="H389" s="171"/>
      <c r="I389" s="171"/>
      <c r="J389" s="171"/>
      <c r="K389" s="171"/>
      <c r="L389" s="127"/>
    </row>
    <row r="390" spans="1:12" x14ac:dyDescent="0.25">
      <c r="A390" s="114">
        <f>IF($A387&lt;&gt;0,VLOOKUP($A387,Liste!$A$10:$W$59,6,FALSE),"")</f>
        <v>0</v>
      </c>
      <c r="B390" s="107">
        <f>IF($A387&lt;&gt;0,VLOOKUP($A387,Liste!$A$10:$W$59,7,FALSE),"")</f>
        <v>0</v>
      </c>
      <c r="F390" s="172"/>
      <c r="G390" s="82"/>
      <c r="H390" s="82"/>
      <c r="I390" s="82"/>
      <c r="J390" s="82"/>
      <c r="K390" s="82"/>
      <c r="L390" s="89"/>
    </row>
    <row r="391" spans="1:12" x14ac:dyDescent="0.25">
      <c r="A391" s="115" t="str">
        <f xml:space="preserve"> IF($A387&lt;&gt;0, "Lot " &amp; VLOOKUP($A387,Liste!$A$10:$W$59,9,FALSE),"")</f>
        <v xml:space="preserve">Lot </v>
      </c>
      <c r="B391" s="111">
        <f>IF($A387&lt;&gt;0,VLOOKUP($A387,Liste!$A$10:$W$59,10,FALSE),"")</f>
        <v>0</v>
      </c>
      <c r="C391" s="110">
        <f>IF($A387&lt;&gt;0,VLOOKUP($A387,Liste!$A$10:$W$59,11,FALSE),"")</f>
        <v>0</v>
      </c>
      <c r="F391" s="172"/>
      <c r="G391" s="82"/>
      <c r="H391" s="82"/>
      <c r="I391" s="82"/>
      <c r="J391" s="82"/>
      <c r="K391" s="82"/>
      <c r="L391" s="89"/>
    </row>
    <row r="392" spans="1:12" ht="13.8" thickBot="1" x14ac:dyDescent="0.3">
      <c r="A392" s="115" t="str">
        <f>IF($A387&lt;&gt;0,"Lot " &amp; VLOOKUP($A387,Liste!$A$10:$W$59,12,FALSE),"")</f>
        <v xml:space="preserve">Lot </v>
      </c>
      <c r="B392" s="111">
        <f>IF($A387&lt;&gt;0,VLOOKUP($A387,Liste!$A$10:$W$59,13,FALSE),"")</f>
        <v>0</v>
      </c>
      <c r="C392" s="110">
        <f>IF($A387&lt;&gt;0,VLOOKUP($A387,Liste!$A$10:$W$59,14,FALSE),"")</f>
        <v>0</v>
      </c>
      <c r="D392" s="111"/>
      <c r="E392" s="116"/>
      <c r="F392" s="173"/>
      <c r="G392" s="122"/>
      <c r="H392" s="122"/>
      <c r="I392" s="122"/>
      <c r="J392" s="122"/>
      <c r="K392" s="122"/>
      <c r="L392" s="128"/>
    </row>
    <row r="393" spans="1:12" x14ac:dyDescent="0.25">
      <c r="A393" s="125" t="str">
        <f>IF($A387&lt;&gt;0,"Lot " &amp; VLOOKUP($A387,Liste!$A$10:$W$59,15,FALSE),"")</f>
        <v xml:space="preserve">Lot </v>
      </c>
      <c r="B393" s="119">
        <f>IF($A387&lt;&gt;0,VLOOKUP($A387,Liste!$A$10:$W$59,16,FALSE),"")</f>
        <v>0</v>
      </c>
      <c r="C393" s="119">
        <f>IF($A387&lt;&gt;0,VLOOKUP($A387,Liste!$A$10:$W$59,17,FALSE),"")</f>
        <v>0</v>
      </c>
      <c r="D393" s="119"/>
      <c r="E393" s="125"/>
      <c r="F393" s="168"/>
      <c r="G393" s="168" t="s">
        <v>159</v>
      </c>
      <c r="H393" s="174" t="s">
        <v>160</v>
      </c>
      <c r="I393" s="84"/>
      <c r="J393" s="84"/>
      <c r="K393" s="84"/>
      <c r="L393" s="108"/>
    </row>
    <row r="394" spans="1:12" x14ac:dyDescent="0.25">
      <c r="A394" s="125" t="str">
        <f>IF($A387&lt;&gt;0,"Lot " &amp; VLOOKUP($A387,Liste!$A$10:$W$59,18,FALSE),"")</f>
        <v xml:space="preserve">Lot </v>
      </c>
      <c r="B394" s="119">
        <f>IF($A387&lt;&gt;0,VLOOKUP($A387,Liste!$A$10:$W$59,19,FALSE),"")</f>
        <v>0</v>
      </c>
      <c r="C394" s="119">
        <f>IF($A387&lt;&gt;0,VLOOKUP($A387,Liste!$A$10:$W$59,20,FALSE),"")</f>
        <v>0</v>
      </c>
      <c r="F394" s="169"/>
      <c r="G394" s="169" t="s">
        <v>161</v>
      </c>
      <c r="H394" s="174" t="s">
        <v>160</v>
      </c>
      <c r="I394" s="167"/>
      <c r="J394" s="167"/>
      <c r="K394" s="167"/>
      <c r="L394" s="176"/>
    </row>
    <row r="395" spans="1:12" ht="13.8" thickBot="1" x14ac:dyDescent="0.3">
      <c r="A395" s="124" t="str">
        <f>IF($A387&lt;&gt;0,"Lot " &amp; VLOOKUP($A387,Liste!$A$10:$W$59,21,FALSE),"")</f>
        <v xml:space="preserve">Lot </v>
      </c>
      <c r="B395" s="123">
        <f>IF($A387&lt;&gt;0,VLOOKUP($A387,Liste!$A$10:$W$59,22,FALSE),"")</f>
        <v>0</v>
      </c>
      <c r="C395" s="123">
        <f>IF($A387&lt;&gt;0,VLOOKUP($A387,Liste!$A$10:$W$59,23,FALSE),"")</f>
        <v>0</v>
      </c>
      <c r="D395" s="122"/>
      <c r="E395" s="122"/>
      <c r="F395" s="122"/>
      <c r="G395" s="226" t="str">
        <f>IF(OR(B388=0,VLOOKUP(A387,Liste!$A$10:'Liste'!$Z$59,26)&lt;&gt;""),"", "Voir autorisation messages électroniques")</f>
        <v/>
      </c>
      <c r="H395" s="226"/>
      <c r="I395" s="226"/>
      <c r="J395" s="122"/>
      <c r="K395" s="122"/>
      <c r="L395" s="128"/>
    </row>
    <row r="396" spans="1:12" ht="21" customHeight="1" x14ac:dyDescent="0.25">
      <c r="A396" s="120">
        <f>A387+1</f>
        <v>41</v>
      </c>
      <c r="B396" s="121"/>
      <c r="C396" s="82"/>
      <c r="D396" s="82"/>
      <c r="E396" s="82"/>
      <c r="F396" s="183"/>
      <c r="G396" s="181" t="s">
        <v>162</v>
      </c>
      <c r="H396" s="166"/>
      <c r="I396" s="166"/>
      <c r="J396" s="166"/>
      <c r="K396" s="166"/>
      <c r="L396" s="175"/>
    </row>
    <row r="397" spans="1:12" ht="21.6" thickBot="1" x14ac:dyDescent="0.45">
      <c r="A397" s="83">
        <f>IF($A396&lt;&gt;0,VLOOKUP($A396,Liste!$A$10:$W$59,3,FALSE),"")</f>
        <v>0</v>
      </c>
      <c r="B397" s="186">
        <f>IF($A396&lt;&gt;0,VLOOKUP($A396,Liste!$A$10:$W$59,4,FALSE),"")</f>
        <v>0</v>
      </c>
      <c r="E397" s="109" t="str">
        <f>IF($A396&lt;&gt;0,VLOOKUP($A396,Liste!$A$10:$W$59,8,FALSE),"")</f>
        <v/>
      </c>
      <c r="F397" s="184"/>
      <c r="G397" s="182" t="s">
        <v>158</v>
      </c>
      <c r="H397" s="106"/>
      <c r="I397" s="106"/>
      <c r="J397" s="106"/>
      <c r="K397" s="106"/>
      <c r="L397" s="26"/>
    </row>
    <row r="398" spans="1:12" x14ac:dyDescent="0.25">
      <c r="A398" s="114">
        <f>IF($A396&lt;&gt;0,VLOOKUP($A396,Liste!$A$10:$W$59,5,FALSE),"")</f>
        <v>0</v>
      </c>
      <c r="F398" s="170"/>
      <c r="G398" s="171" t="s">
        <v>163</v>
      </c>
      <c r="H398" s="171"/>
      <c r="I398" s="171"/>
      <c r="J398" s="171"/>
      <c r="K398" s="171"/>
      <c r="L398" s="127"/>
    </row>
    <row r="399" spans="1:12" x14ac:dyDescent="0.25">
      <c r="A399" s="114">
        <f>IF($A396&lt;&gt;0,VLOOKUP($A396,Liste!$A$10:$W$59,6,FALSE),"")</f>
        <v>0</v>
      </c>
      <c r="B399" s="107">
        <f>IF($A396&lt;&gt;0,VLOOKUP($A396,Liste!$A$10:$W$59,7,FALSE),"")</f>
        <v>0</v>
      </c>
      <c r="F399" s="172"/>
      <c r="G399" s="82"/>
      <c r="H399" s="82"/>
      <c r="I399" s="82"/>
      <c r="J399" s="82"/>
      <c r="K399" s="82"/>
      <c r="L399" s="89"/>
    </row>
    <row r="400" spans="1:12" x14ac:dyDescent="0.25">
      <c r="A400" s="115" t="str">
        <f xml:space="preserve"> IF($A396&lt;&gt;0, "Lot " &amp; VLOOKUP($A396,Liste!$A$10:$W$59,9,FALSE),"")</f>
        <v xml:space="preserve">Lot </v>
      </c>
      <c r="B400" s="111">
        <f>IF($A396&lt;&gt;0,VLOOKUP($A396,Liste!$A$10:$W$59,10,FALSE),"")</f>
        <v>0</v>
      </c>
      <c r="C400" s="110">
        <f>IF($A396&lt;&gt;0,VLOOKUP($A396,Liste!$A$10:$W$59,11,FALSE),"")</f>
        <v>0</v>
      </c>
      <c r="F400" s="172"/>
      <c r="G400" s="82"/>
      <c r="H400" s="82"/>
      <c r="I400" s="82"/>
      <c r="J400" s="82"/>
      <c r="K400" s="82"/>
      <c r="L400" s="89"/>
    </row>
    <row r="401" spans="1:12" ht="13.8" thickBot="1" x14ac:dyDescent="0.3">
      <c r="A401" s="115" t="str">
        <f>IF($A396&lt;&gt;0,"Lot " &amp; VLOOKUP($A396,Liste!$A$10:$W$59,12,FALSE),"")</f>
        <v xml:space="preserve">Lot </v>
      </c>
      <c r="B401" s="111">
        <f>IF($A396&lt;&gt;0,VLOOKUP($A396,Liste!$A$10:$W$59,13,FALSE),"")</f>
        <v>0</v>
      </c>
      <c r="C401" s="110">
        <f>IF($A396&lt;&gt;0,VLOOKUP($A396,Liste!$A$10:$W$59,14,FALSE),"")</f>
        <v>0</v>
      </c>
      <c r="D401" s="111"/>
      <c r="E401" s="116"/>
      <c r="F401" s="173"/>
      <c r="G401" s="122"/>
      <c r="H401" s="122"/>
      <c r="I401" s="122"/>
      <c r="J401" s="122"/>
      <c r="K401" s="122"/>
      <c r="L401" s="128"/>
    </row>
    <row r="402" spans="1:12" x14ac:dyDescent="0.25">
      <c r="A402" s="125" t="str">
        <f>IF($A396&lt;&gt;0,"Lot " &amp; VLOOKUP($A396,Liste!$A$10:$W$59,15,FALSE),"")</f>
        <v xml:space="preserve">Lot </v>
      </c>
      <c r="B402" s="119">
        <f>IF($A396&lt;&gt;0,VLOOKUP($A396,Liste!$A$10:$W$59,16,FALSE),"")</f>
        <v>0</v>
      </c>
      <c r="C402" s="119">
        <f>IF($A396&lt;&gt;0,VLOOKUP($A396,Liste!$A$10:$W$59,17,FALSE),"")</f>
        <v>0</v>
      </c>
      <c r="D402" s="119"/>
      <c r="E402" s="125"/>
      <c r="F402" s="168"/>
      <c r="G402" s="168" t="s">
        <v>159</v>
      </c>
      <c r="H402" s="174" t="s">
        <v>160</v>
      </c>
      <c r="I402" s="84"/>
      <c r="J402" s="84"/>
      <c r="K402" s="84"/>
      <c r="L402" s="108"/>
    </row>
    <row r="403" spans="1:12" x14ac:dyDescent="0.25">
      <c r="A403" s="125" t="str">
        <f>IF($A396&lt;&gt;0,"Lot " &amp; VLOOKUP($A396,Liste!$A$10:$W$59,18,FALSE),"")</f>
        <v xml:space="preserve">Lot </v>
      </c>
      <c r="B403" s="119">
        <f>IF($A396&lt;&gt;0,VLOOKUP($A396,Liste!$A$10:$W$59,19,FALSE),"")</f>
        <v>0</v>
      </c>
      <c r="C403" s="119">
        <f>IF($A396&lt;&gt;0,VLOOKUP($A396,Liste!$A$10:$W$59,20,FALSE),"")</f>
        <v>0</v>
      </c>
      <c r="F403" s="169"/>
      <c r="G403" s="169" t="s">
        <v>161</v>
      </c>
      <c r="H403" s="174" t="s">
        <v>160</v>
      </c>
      <c r="I403" s="167"/>
      <c r="J403" s="167"/>
      <c r="K403" s="167"/>
      <c r="L403" s="176"/>
    </row>
    <row r="404" spans="1:12" ht="13.8" thickBot="1" x14ac:dyDescent="0.3">
      <c r="A404" s="124" t="str">
        <f>IF($A396&lt;&gt;0,"Lot " &amp; VLOOKUP($A396,Liste!$A$10:$W$59,21,FALSE),"")</f>
        <v xml:space="preserve">Lot </v>
      </c>
      <c r="B404" s="123">
        <f>IF($A396&lt;&gt;0,VLOOKUP($A396,Liste!$A$10:$W$59,22,FALSE),"")</f>
        <v>0</v>
      </c>
      <c r="C404" s="123">
        <f>IF($A396&lt;&gt;0,VLOOKUP($A396,Liste!$A$10:$W$59,23,FALSE),"")</f>
        <v>0</v>
      </c>
      <c r="D404" s="122"/>
      <c r="E404" s="122"/>
      <c r="F404" s="122"/>
      <c r="G404" s="226" t="str">
        <f>IF(OR(B397=0,VLOOKUP(A396,Liste!$A$10:'Liste'!$Z$59,26)&lt;&gt;""),"", "Voir autorisation messages électroniques")</f>
        <v/>
      </c>
      <c r="H404" s="226"/>
      <c r="I404" s="226"/>
      <c r="J404" s="122"/>
      <c r="K404" s="122"/>
      <c r="L404" s="128"/>
    </row>
    <row r="405" spans="1:12" ht="22.5" customHeight="1" x14ac:dyDescent="0.25">
      <c r="A405" s="120">
        <f>A396+1</f>
        <v>42</v>
      </c>
      <c r="B405" s="121"/>
      <c r="C405" s="82"/>
      <c r="D405" s="82"/>
      <c r="E405" s="82"/>
      <c r="F405" s="183"/>
      <c r="G405" s="181" t="s">
        <v>162</v>
      </c>
      <c r="H405" s="166"/>
      <c r="I405" s="166"/>
      <c r="J405" s="166"/>
      <c r="K405" s="166"/>
      <c r="L405" s="175"/>
    </row>
    <row r="406" spans="1:12" ht="21.6" thickBot="1" x14ac:dyDescent="0.45">
      <c r="A406" s="83">
        <f>IF($A405&lt;&gt;0,VLOOKUP($A405,Liste!$A$10:$W$59,3,FALSE),"")</f>
        <v>0</v>
      </c>
      <c r="B406" s="186">
        <f>IF($A405&lt;&gt;0,VLOOKUP($A405,Liste!$A$10:$W$59,4,FALSE),"")</f>
        <v>0</v>
      </c>
      <c r="E406" s="109" t="str">
        <f>IF($A405&lt;&gt;0,VLOOKUP($A405,Liste!$A$10:$W$59,8,FALSE),"")</f>
        <v/>
      </c>
      <c r="F406" s="184"/>
      <c r="G406" s="182" t="s">
        <v>158</v>
      </c>
      <c r="H406" s="106"/>
      <c r="I406" s="106"/>
      <c r="J406" s="106"/>
      <c r="K406" s="106"/>
      <c r="L406" s="26"/>
    </row>
    <row r="407" spans="1:12" x14ac:dyDescent="0.25">
      <c r="A407" s="114">
        <f>IF($A405&lt;&gt;0,VLOOKUP($A405,Liste!$A$10:$W$59,5,FALSE),"")</f>
        <v>0</v>
      </c>
      <c r="F407" s="170"/>
      <c r="G407" s="171" t="s">
        <v>163</v>
      </c>
      <c r="H407" s="171"/>
      <c r="I407" s="171"/>
      <c r="J407" s="171"/>
      <c r="K407" s="171"/>
      <c r="L407" s="127"/>
    </row>
    <row r="408" spans="1:12" x14ac:dyDescent="0.25">
      <c r="A408" s="114">
        <f>IF($A405&lt;&gt;0,VLOOKUP($A405,Liste!$A$10:$W$59,6,FALSE),"")</f>
        <v>0</v>
      </c>
      <c r="B408" s="107">
        <f>IF($A405&lt;&gt;0,VLOOKUP($A405,Liste!$A$10:$W$59,7,FALSE),"")</f>
        <v>0</v>
      </c>
      <c r="F408" s="172"/>
      <c r="G408" s="82"/>
      <c r="H408" s="82"/>
      <c r="I408" s="82"/>
      <c r="J408" s="82"/>
      <c r="K408" s="82"/>
      <c r="L408" s="89"/>
    </row>
    <row r="409" spans="1:12" x14ac:dyDescent="0.25">
      <c r="A409" s="115" t="str">
        <f xml:space="preserve"> IF($A405&lt;&gt;0, "Lot " &amp; VLOOKUP($A405,Liste!$A$10:$W$59,9,FALSE),"")</f>
        <v xml:space="preserve">Lot </v>
      </c>
      <c r="B409" s="111">
        <f>IF($A405&lt;&gt;0,VLOOKUP($A405,Liste!$A$10:$W$59,10,FALSE),"")</f>
        <v>0</v>
      </c>
      <c r="C409" s="110">
        <f>IF($A405&lt;&gt;0,VLOOKUP($A405,Liste!$A$10:$W$59,11,FALSE),"")</f>
        <v>0</v>
      </c>
      <c r="F409" s="172"/>
      <c r="G409" s="82"/>
      <c r="H409" s="82"/>
      <c r="I409" s="82"/>
      <c r="J409" s="82"/>
      <c r="K409" s="82"/>
      <c r="L409" s="89"/>
    </row>
    <row r="410" spans="1:12" ht="13.8" thickBot="1" x14ac:dyDescent="0.3">
      <c r="A410" s="115" t="str">
        <f>IF($A405&lt;&gt;0,"Lot " &amp; VLOOKUP($A405,Liste!$A$10:$W$59,12,FALSE),"")</f>
        <v xml:space="preserve">Lot </v>
      </c>
      <c r="B410" s="111">
        <f>IF($A405&lt;&gt;0,VLOOKUP($A405,Liste!$A$10:$W$59,13,FALSE),"")</f>
        <v>0</v>
      </c>
      <c r="C410" s="110">
        <f>IF($A405&lt;&gt;0,VLOOKUP($A405,Liste!$A$10:$W$59,14,FALSE),"")</f>
        <v>0</v>
      </c>
      <c r="D410" s="111"/>
      <c r="E410" s="116"/>
      <c r="F410" s="173"/>
      <c r="G410" s="122"/>
      <c r="H410" s="122"/>
      <c r="I410" s="122"/>
      <c r="J410" s="122"/>
      <c r="K410" s="122"/>
      <c r="L410" s="128"/>
    </row>
    <row r="411" spans="1:12" x14ac:dyDescent="0.25">
      <c r="A411" s="125" t="str">
        <f>IF($A405&lt;&gt;0,"Lot " &amp; VLOOKUP($A405,Liste!$A$10:$W$59,15,FALSE),"")</f>
        <v xml:space="preserve">Lot </v>
      </c>
      <c r="B411" s="119">
        <f>IF($A405&lt;&gt;0,VLOOKUP($A405,Liste!$A$10:$W$59,16,FALSE),"")</f>
        <v>0</v>
      </c>
      <c r="C411" s="119">
        <f>IF($A405&lt;&gt;0,VLOOKUP($A405,Liste!$A$10:$W$59,17,FALSE),"")</f>
        <v>0</v>
      </c>
      <c r="D411" s="119"/>
      <c r="E411" s="125"/>
      <c r="F411" s="168"/>
      <c r="G411" s="168" t="s">
        <v>159</v>
      </c>
      <c r="H411" s="174" t="s">
        <v>160</v>
      </c>
      <c r="I411" s="84"/>
      <c r="J411" s="84"/>
      <c r="K411" s="84"/>
      <c r="L411" s="108"/>
    </row>
    <row r="412" spans="1:12" x14ac:dyDescent="0.25">
      <c r="A412" s="125" t="str">
        <f>IF($A405&lt;&gt;0,"Lot " &amp; VLOOKUP($A405,Liste!$A$10:$W$59,18,FALSE),"")</f>
        <v xml:space="preserve">Lot </v>
      </c>
      <c r="B412" s="119">
        <f>IF($A405&lt;&gt;0,VLOOKUP($A405,Liste!$A$10:$W$59,19,FALSE),"")</f>
        <v>0</v>
      </c>
      <c r="C412" s="119">
        <f>IF($A405&lt;&gt;0,VLOOKUP($A405,Liste!$A$10:$W$59,20,FALSE),"")</f>
        <v>0</v>
      </c>
      <c r="F412" s="169"/>
      <c r="G412" s="169" t="s">
        <v>161</v>
      </c>
      <c r="H412" s="174" t="s">
        <v>160</v>
      </c>
      <c r="I412" s="167"/>
      <c r="J412" s="167"/>
      <c r="K412" s="167"/>
      <c r="L412" s="176"/>
    </row>
    <row r="413" spans="1:12" ht="13.8" thickBot="1" x14ac:dyDescent="0.3">
      <c r="A413" s="124" t="str">
        <f>IF($A405&lt;&gt;0,"Lot " &amp; VLOOKUP($A405,Liste!$A$10:$W$59,21,FALSE),"")</f>
        <v xml:space="preserve">Lot </v>
      </c>
      <c r="B413" s="123">
        <f>IF($A405&lt;&gt;0,VLOOKUP($A405,Liste!$A$10:$W$59,22,FALSE),"")</f>
        <v>0</v>
      </c>
      <c r="C413" s="123">
        <f>IF($A405&lt;&gt;0,VLOOKUP($A405,Liste!$A$10:$W$59,23,FALSE),"")</f>
        <v>0</v>
      </c>
      <c r="D413" s="122"/>
      <c r="E413" s="122"/>
      <c r="F413" s="122"/>
      <c r="G413" s="226" t="str">
        <f>IF(OR(B406=0,VLOOKUP(A405,Liste!$A$10:'Liste'!$Z$59,26)&lt;&gt;""),"", "Voir autorisation messages électroniques")</f>
        <v/>
      </c>
      <c r="H413" s="226"/>
      <c r="I413" s="226"/>
      <c r="J413" s="122"/>
      <c r="K413" s="122"/>
      <c r="L413" s="128"/>
    </row>
    <row r="414" spans="1:12" x14ac:dyDescent="0.25">
      <c r="L414" s="82"/>
    </row>
    <row r="415" spans="1:12" ht="17.399999999999999" x14ac:dyDescent="0.3">
      <c r="D415" s="112" t="s">
        <v>93</v>
      </c>
      <c r="E415" s="112"/>
      <c r="F415" s="112"/>
      <c r="K415" s="133" t="s">
        <v>98</v>
      </c>
      <c r="L415" s="177">
        <f>L356+1</f>
        <v>8</v>
      </c>
    </row>
    <row r="416" spans="1:12" x14ac:dyDescent="0.25">
      <c r="E416" s="133" t="s">
        <v>114</v>
      </c>
      <c r="F416" s="133"/>
      <c r="G416" s="152">
        <f>IF(A419&gt;0,Liste!$C$1,"")</f>
        <v>44084</v>
      </c>
    </row>
    <row r="417" spans="1:12" x14ac:dyDescent="0.25">
      <c r="D417" t="str">
        <f>IF(A419&gt;0,Liste!$C$3&amp;"; "&amp;Liste!$C$4&amp;" "&amp;Liste!$C$5,"""")</f>
        <v>Résidence Le Paradis; Rue de l' espoir 75016 PARIS</v>
      </c>
      <c r="E417" s="152"/>
      <c r="F417" s="152"/>
      <c r="G417" s="152"/>
    </row>
    <row r="418" spans="1:12" ht="13.8" thickBot="1" x14ac:dyDescent="0.3">
      <c r="A418" s="84"/>
      <c r="B418" s="84"/>
      <c r="C418" s="84"/>
      <c r="D418" s="84"/>
      <c r="E418" s="84"/>
      <c r="F418" s="84"/>
      <c r="G418" s="84"/>
    </row>
    <row r="419" spans="1:12" ht="18" customHeight="1" x14ac:dyDescent="0.25">
      <c r="A419" s="120">
        <f>IF(A405&lt;Liste!$D$2,A405+1,"")</f>
        <v>43</v>
      </c>
      <c r="B419" s="121"/>
      <c r="C419" s="82"/>
      <c r="D419" s="82"/>
      <c r="E419" s="82"/>
      <c r="F419" s="183"/>
      <c r="G419" s="181" t="s">
        <v>162</v>
      </c>
      <c r="H419" s="166"/>
      <c r="I419" s="166"/>
      <c r="J419" s="166"/>
      <c r="K419" s="166"/>
      <c r="L419" s="175"/>
    </row>
    <row r="420" spans="1:12" ht="18" thickBot="1" x14ac:dyDescent="0.35">
      <c r="A420" s="83">
        <f>IF($A419&lt;&gt;0,VLOOKUP($A419,Liste!$A$10:$W$59,3,FALSE),"")</f>
        <v>0</v>
      </c>
      <c r="B420" s="185">
        <f>IF($A419&lt;&gt;0,VLOOKUP($A419,Liste!$A$10:$W$59,4,FALSE),"")</f>
        <v>0</v>
      </c>
      <c r="E420" s="109" t="str">
        <f>IF($A419&lt;&gt;0,VLOOKUP($A419,Liste!$A$10:$W$59,8,FALSE),"")</f>
        <v/>
      </c>
      <c r="F420" s="184"/>
      <c r="G420" s="182" t="s">
        <v>158</v>
      </c>
      <c r="H420" s="106"/>
      <c r="I420" s="106"/>
      <c r="J420" s="106"/>
      <c r="K420" s="106"/>
      <c r="L420" s="26"/>
    </row>
    <row r="421" spans="1:12" x14ac:dyDescent="0.25">
      <c r="A421" s="114">
        <f>IF($A419&lt;&gt;0,VLOOKUP($A419,Liste!$A$10:$W$59,5,FALSE),"")</f>
        <v>0</v>
      </c>
      <c r="F421" s="170"/>
      <c r="G421" s="171" t="s">
        <v>163</v>
      </c>
      <c r="H421" s="171"/>
      <c r="I421" s="171"/>
      <c r="J421" s="171"/>
      <c r="K421" s="171"/>
      <c r="L421" s="127"/>
    </row>
    <row r="422" spans="1:12" x14ac:dyDescent="0.25">
      <c r="A422" s="114">
        <f>IF($A419&lt;&gt;0,VLOOKUP($A419,Liste!$A$10:$W$59,6,FALSE),"")</f>
        <v>0</v>
      </c>
      <c r="B422" s="107">
        <f>IF($A419&lt;&gt;0,VLOOKUP($A419,Liste!$A$10:$W$59,7,FALSE),"")</f>
        <v>0</v>
      </c>
      <c r="F422" s="172"/>
      <c r="G422" s="82"/>
      <c r="H422" s="82"/>
      <c r="I422" s="82"/>
      <c r="J422" s="82"/>
      <c r="K422" s="82"/>
      <c r="L422" s="89"/>
    </row>
    <row r="423" spans="1:12" x14ac:dyDescent="0.25">
      <c r="A423" s="115" t="str">
        <f xml:space="preserve"> IF($A419&lt;&gt;0, "Lot " &amp; VLOOKUP($A419,Liste!$A$10:$W$59,9,FALSE),"")</f>
        <v xml:space="preserve">Lot </v>
      </c>
      <c r="B423" s="111">
        <f>IF($A419&lt;&gt;0,VLOOKUP($A419,Liste!$A$10:$W$59,10,FALSE),"")</f>
        <v>0</v>
      </c>
      <c r="C423" s="110">
        <f>IF($A419&lt;&gt;0,VLOOKUP($A419,Liste!$A$10:$W$59,11,FALSE),"")</f>
        <v>0</v>
      </c>
      <c r="F423" s="172"/>
      <c r="G423" s="82"/>
      <c r="H423" s="82"/>
      <c r="I423" s="82"/>
      <c r="J423" s="82"/>
      <c r="K423" s="82"/>
      <c r="L423" s="89"/>
    </row>
    <row r="424" spans="1:12" ht="13.8" thickBot="1" x14ac:dyDescent="0.3">
      <c r="A424" s="115" t="str">
        <f>IF($A419&lt;&gt;0,"Lot " &amp; VLOOKUP($A419,Liste!$A$10:$W$59,12,FALSE),"")</f>
        <v xml:space="preserve">Lot </v>
      </c>
      <c r="B424" s="111">
        <f>IF($A419&lt;&gt;0,VLOOKUP($A419,Liste!$A$10:$W$59,13,FALSE),"")</f>
        <v>0</v>
      </c>
      <c r="C424" s="110">
        <f>IF($A419&lt;&gt;0,VLOOKUP($A419,Liste!$A$10:$W$59,14,FALSE),"")</f>
        <v>0</v>
      </c>
      <c r="D424" s="111"/>
      <c r="E424" s="116"/>
      <c r="F424" s="173"/>
      <c r="G424" s="122"/>
      <c r="H424" s="122"/>
      <c r="I424" s="122"/>
      <c r="J424" s="122"/>
      <c r="K424" s="122"/>
      <c r="L424" s="128"/>
    </row>
    <row r="425" spans="1:12" x14ac:dyDescent="0.25">
      <c r="A425" s="125" t="str">
        <f>IF($A419&lt;&gt;0,"Lot " &amp; VLOOKUP($A419,Liste!$A$10:$W$59,15,FALSE),"")</f>
        <v xml:space="preserve">Lot </v>
      </c>
      <c r="B425" s="119">
        <f>IF($A419&lt;&gt;0,VLOOKUP($A419,Liste!$A$10:$W$59,16,FALSE),"")</f>
        <v>0</v>
      </c>
      <c r="C425" s="119">
        <f>IF($A419&lt;&gt;0,VLOOKUP($A419,Liste!$A$10:$W$59,17,FALSE),"")</f>
        <v>0</v>
      </c>
      <c r="D425" s="119"/>
      <c r="E425" s="125"/>
      <c r="F425" s="168"/>
      <c r="G425" s="168" t="s">
        <v>159</v>
      </c>
      <c r="H425" s="174" t="s">
        <v>160</v>
      </c>
      <c r="I425" s="84"/>
      <c r="J425" s="84"/>
      <c r="K425" s="84"/>
      <c r="L425" s="108"/>
    </row>
    <row r="426" spans="1:12" x14ac:dyDescent="0.25">
      <c r="A426" s="125" t="str">
        <f>IF($A419&lt;&gt;0,"Lot " &amp; VLOOKUP($A419,Liste!$A$10:$W$59,18,FALSE),"")</f>
        <v xml:space="preserve">Lot </v>
      </c>
      <c r="B426" s="119">
        <f>IF($A419&lt;&gt;0,VLOOKUP($A419,Liste!$A$10:$W$59,19,FALSE),"")</f>
        <v>0</v>
      </c>
      <c r="C426" s="119">
        <f>IF($A419&lt;&gt;0,VLOOKUP($A419,Liste!$A$10:$W$59,19,FALSE),"")</f>
        <v>0</v>
      </c>
      <c r="F426" s="169"/>
      <c r="G426" s="169" t="s">
        <v>161</v>
      </c>
      <c r="H426" s="174" t="s">
        <v>160</v>
      </c>
      <c r="I426" s="167"/>
      <c r="J426" s="167"/>
      <c r="K426" s="167"/>
      <c r="L426" s="176"/>
    </row>
    <row r="427" spans="1:12" ht="13.8" thickBot="1" x14ac:dyDescent="0.3">
      <c r="A427" s="124" t="str">
        <f>IF($A419&lt;&gt;0,"Lot " &amp; VLOOKUP($A419,Liste!$A$10:$W$59,21,FALSE),"")</f>
        <v xml:space="preserve">Lot </v>
      </c>
      <c r="B427" s="123">
        <f>IF($A419&lt;&gt;0,VLOOKUP($A419,Liste!$A$10:$W$59,22,FALSE),"")</f>
        <v>0</v>
      </c>
      <c r="C427" s="123">
        <f>IF($A419&lt;&gt;0,VLOOKUP($A419,Liste!$A$10:$W$59,23,FALSE),"")</f>
        <v>0</v>
      </c>
      <c r="D427" s="122"/>
      <c r="E427" s="122"/>
      <c r="F427" s="122"/>
      <c r="G427" s="226" t="str">
        <f>IF(OR(B420=0,VLOOKUP(A419,Liste!$A$10:'Liste'!$Z$59,26)&lt;&gt;""),"", "Voir autorisation messages électroniques")</f>
        <v/>
      </c>
      <c r="H427" s="226"/>
      <c r="I427" s="226"/>
      <c r="J427" s="122"/>
      <c r="K427" s="122"/>
      <c r="L427" s="128"/>
    </row>
    <row r="428" spans="1:12" ht="18.75" customHeight="1" x14ac:dyDescent="0.25">
      <c r="A428" s="120">
        <f>A419+1</f>
        <v>44</v>
      </c>
      <c r="B428" s="121"/>
      <c r="C428" s="82"/>
      <c r="D428" s="82"/>
      <c r="E428" s="82"/>
      <c r="F428" s="183"/>
      <c r="G428" s="181" t="s">
        <v>162</v>
      </c>
      <c r="H428" s="166"/>
      <c r="I428" s="166"/>
      <c r="J428" s="166"/>
      <c r="K428" s="166"/>
      <c r="L428" s="175"/>
    </row>
    <row r="429" spans="1:12" ht="18" thickBot="1" x14ac:dyDescent="0.35">
      <c r="A429" s="83">
        <f>IF($A428&lt;&gt;0,VLOOKUP($A428,Liste!$A$10:$W$59,3,FALSE),"")</f>
        <v>0</v>
      </c>
      <c r="B429" s="185">
        <f>IF($A428&lt;&gt;0,VLOOKUP($A428,Liste!$A$10:$W$59,4,FALSE),"")</f>
        <v>0</v>
      </c>
      <c r="E429" s="109" t="str">
        <f>IF($A428&lt;&gt;0,VLOOKUP($A428,Liste!$A$10:$W$59,8,FALSE),"")</f>
        <v/>
      </c>
      <c r="F429" s="184"/>
      <c r="G429" s="182" t="s">
        <v>158</v>
      </c>
      <c r="H429" s="106"/>
      <c r="I429" s="106"/>
      <c r="J429" s="106"/>
      <c r="K429" s="106"/>
      <c r="L429" s="26"/>
    </row>
    <row r="430" spans="1:12" x14ac:dyDescent="0.25">
      <c r="A430" s="114">
        <f>IF($A428&lt;&gt;0,VLOOKUP($A428,Liste!$A$10:$W$59,5,FALSE),"")</f>
        <v>0</v>
      </c>
      <c r="F430" s="170"/>
      <c r="G430" s="171" t="s">
        <v>163</v>
      </c>
      <c r="H430" s="171"/>
      <c r="I430" s="171"/>
      <c r="J430" s="171"/>
      <c r="K430" s="171"/>
      <c r="L430" s="127"/>
    </row>
    <row r="431" spans="1:12" x14ac:dyDescent="0.25">
      <c r="A431" s="114">
        <f>IF($A428&lt;&gt;0,VLOOKUP($A428,Liste!$A$10:$W$59,6,FALSE),"")</f>
        <v>0</v>
      </c>
      <c r="B431" s="107">
        <f>IF($A428&lt;&gt;0,VLOOKUP($A428,Liste!$A$10:$W$59,7,FALSE),"")</f>
        <v>0</v>
      </c>
      <c r="F431" s="172"/>
      <c r="G431" s="82"/>
      <c r="H431" s="82"/>
      <c r="I431" s="82"/>
      <c r="J431" s="82"/>
      <c r="K431" s="82"/>
      <c r="L431" s="89"/>
    </row>
    <row r="432" spans="1:12" x14ac:dyDescent="0.25">
      <c r="A432" s="115" t="str">
        <f xml:space="preserve"> IF($A428&lt;&gt;0, "Lot " &amp; VLOOKUP($A428,Liste!$A$10:$W$59,9,FALSE),"")</f>
        <v xml:space="preserve">Lot </v>
      </c>
      <c r="B432" s="111">
        <f>IF($A428&lt;&gt;0,VLOOKUP($A428,Liste!$A$10:$W$59,10,FALSE),"")</f>
        <v>0</v>
      </c>
      <c r="C432" s="110">
        <f>IF($A428&lt;&gt;0,VLOOKUP($A428,Liste!$A$10:$W$59,11,FALSE),"")</f>
        <v>0</v>
      </c>
      <c r="F432" s="172"/>
      <c r="G432" s="82"/>
      <c r="H432" s="82"/>
      <c r="I432" s="82"/>
      <c r="J432" s="82"/>
      <c r="K432" s="82"/>
      <c r="L432" s="89"/>
    </row>
    <row r="433" spans="1:12" ht="13.8" thickBot="1" x14ac:dyDescent="0.3">
      <c r="A433" s="115" t="str">
        <f>IF($A428&lt;&gt;0,"Lot " &amp; VLOOKUP($A428,Liste!$A$10:$W$59,12,FALSE),"")</f>
        <v xml:space="preserve">Lot </v>
      </c>
      <c r="B433" s="111">
        <f>IF($A428&lt;&gt;0,VLOOKUP($A428,Liste!$A$10:$W$59,13,FALSE),"")</f>
        <v>0</v>
      </c>
      <c r="C433" s="110">
        <f>IF($A428&lt;&gt;0,VLOOKUP($A428,Liste!$A$10:$W$59,14,FALSE),"")</f>
        <v>0</v>
      </c>
      <c r="D433" s="111"/>
      <c r="E433" s="116"/>
      <c r="F433" s="173"/>
      <c r="G433" s="122"/>
      <c r="H433" s="122"/>
      <c r="I433" s="122"/>
      <c r="J433" s="122"/>
      <c r="K433" s="122"/>
      <c r="L433" s="128"/>
    </row>
    <row r="434" spans="1:12" x14ac:dyDescent="0.25">
      <c r="A434" s="125" t="str">
        <f>IF($A428&lt;&gt;0,"Lot " &amp; VLOOKUP($A428,Liste!$A$10:$W$59,15,FALSE),"")</f>
        <v xml:space="preserve">Lot </v>
      </c>
      <c r="B434" s="119">
        <f>IF($A428&lt;&gt;0,VLOOKUP($A428,Liste!$A$10:$W$59,16,FALSE),"")</f>
        <v>0</v>
      </c>
      <c r="C434" s="119">
        <f>IF($A428&lt;&gt;0,VLOOKUP($A428,Liste!$A$10:$W$59,17,FALSE),"")</f>
        <v>0</v>
      </c>
      <c r="D434" s="119"/>
      <c r="E434" s="125"/>
      <c r="F434" s="168"/>
      <c r="G434" s="168" t="s">
        <v>159</v>
      </c>
      <c r="H434" s="174" t="s">
        <v>160</v>
      </c>
      <c r="I434" s="84"/>
      <c r="J434" s="84"/>
      <c r="K434" s="84"/>
      <c r="L434" s="108"/>
    </row>
    <row r="435" spans="1:12" x14ac:dyDescent="0.25">
      <c r="A435" s="125" t="str">
        <f>IF($A428&lt;&gt;0,"Lot " &amp; VLOOKUP($A428,Liste!$A$10:$W$59,18,FALSE),"")</f>
        <v xml:space="preserve">Lot </v>
      </c>
      <c r="B435" s="119">
        <f>IF($A428&lt;&gt;0,VLOOKUP($A428,Liste!$A$10:$W$59,19,FALSE),"")</f>
        <v>0</v>
      </c>
      <c r="C435" s="119">
        <f>IF($A428&lt;&gt;0,VLOOKUP($A428,Liste!$A$10:$W$59,20,FALSE),"")</f>
        <v>0</v>
      </c>
      <c r="F435" s="169"/>
      <c r="G435" s="169" t="s">
        <v>161</v>
      </c>
      <c r="H435" s="174" t="s">
        <v>160</v>
      </c>
      <c r="I435" s="167"/>
      <c r="J435" s="167"/>
      <c r="K435" s="167"/>
      <c r="L435" s="176"/>
    </row>
    <row r="436" spans="1:12" ht="13.8" thickBot="1" x14ac:dyDescent="0.3">
      <c r="A436" s="124" t="str">
        <f>IF($A428&lt;&gt;0,"Lot " &amp; VLOOKUP($A428,Liste!$A$10:$W$59,21,FALSE),"")</f>
        <v xml:space="preserve">Lot </v>
      </c>
      <c r="B436" s="123">
        <f>IF($A428&lt;&gt;0,VLOOKUP($A428,Liste!$A$10:$W$59,22,FALSE),"")</f>
        <v>0</v>
      </c>
      <c r="C436" s="123">
        <f>IF($A428&lt;&gt;0,VLOOKUP($A428,Liste!$A$10:$W$59,23,FALSE),"")</f>
        <v>0</v>
      </c>
      <c r="D436" s="122"/>
      <c r="E436" s="122"/>
      <c r="F436" s="122"/>
      <c r="G436" s="226" t="str">
        <f>IF(OR(B429=0,VLOOKUP(A428,Liste!$A$10:'Liste'!$Z$59,26)&lt;&gt;""),"", "Voir autorisation messages électroniques")</f>
        <v/>
      </c>
      <c r="H436" s="226"/>
      <c r="I436" s="226"/>
      <c r="J436" s="122"/>
      <c r="K436" s="122"/>
      <c r="L436" s="128"/>
    </row>
    <row r="437" spans="1:12" ht="21" customHeight="1" x14ac:dyDescent="0.25">
      <c r="A437" s="120">
        <f>A428+1</f>
        <v>45</v>
      </c>
      <c r="B437" s="121"/>
      <c r="C437" s="82"/>
      <c r="D437" s="82"/>
      <c r="E437" s="82"/>
      <c r="F437" s="183"/>
      <c r="G437" s="181" t="s">
        <v>162</v>
      </c>
      <c r="H437" s="166"/>
      <c r="I437" s="166"/>
      <c r="J437" s="166"/>
      <c r="K437" s="166"/>
      <c r="L437" s="175"/>
    </row>
    <row r="438" spans="1:12" ht="18" thickBot="1" x14ac:dyDescent="0.35">
      <c r="A438" s="83">
        <f>IF($A437&lt;&gt;0,VLOOKUP($A437,Liste!$A$10:$W$59,3,FALSE),"")</f>
        <v>0</v>
      </c>
      <c r="B438" s="185">
        <f>IF($A437&lt;&gt;0,VLOOKUP($A437,Liste!$A$10:$W$59,4,FALSE),"")</f>
        <v>0</v>
      </c>
      <c r="E438" s="109" t="str">
        <f>IF($A437&lt;&gt;0,VLOOKUP($A437,Liste!$A$10:$W$59,8,FALSE),"")</f>
        <v/>
      </c>
      <c r="F438" s="184"/>
      <c r="G438" s="182" t="s">
        <v>158</v>
      </c>
      <c r="H438" s="106"/>
      <c r="I438" s="106"/>
      <c r="J438" s="106"/>
      <c r="K438" s="106"/>
      <c r="L438" s="26"/>
    </row>
    <row r="439" spans="1:12" x14ac:dyDescent="0.25">
      <c r="A439" s="114">
        <f>IF($A437&lt;&gt;0,VLOOKUP($A437,Liste!$A$10:$W$59,5,FALSE),"")</f>
        <v>0</v>
      </c>
      <c r="F439" s="170"/>
      <c r="G439" s="171" t="s">
        <v>163</v>
      </c>
      <c r="H439" s="171"/>
      <c r="I439" s="171"/>
      <c r="J439" s="171"/>
      <c r="K439" s="171"/>
      <c r="L439" s="127"/>
    </row>
    <row r="440" spans="1:12" x14ac:dyDescent="0.25">
      <c r="A440" s="114">
        <f>IF($A437&lt;&gt;0,VLOOKUP($A437,Liste!$A$10:$W$59,6,FALSE),"")</f>
        <v>0</v>
      </c>
      <c r="B440" s="107">
        <f>IF($A437&lt;&gt;0,VLOOKUP($A437,Liste!$A$10:$W$59,7,FALSE),"")</f>
        <v>0</v>
      </c>
      <c r="F440" s="172"/>
      <c r="G440" s="82"/>
      <c r="H440" s="82"/>
      <c r="I440" s="82"/>
      <c r="J440" s="82"/>
      <c r="K440" s="82"/>
      <c r="L440" s="89"/>
    </row>
    <row r="441" spans="1:12" x14ac:dyDescent="0.25">
      <c r="A441" s="115" t="str">
        <f xml:space="preserve"> IF($A437&lt;&gt;0, "Lot " &amp; VLOOKUP($A437,Liste!$A$10:$W$59,9,FALSE),"")</f>
        <v xml:space="preserve">Lot </v>
      </c>
      <c r="B441" s="111">
        <f>IF($A437&lt;&gt;0,VLOOKUP($A437,Liste!$A$10:$W$59,10,FALSE),"")</f>
        <v>0</v>
      </c>
      <c r="C441" s="110">
        <f>IF($A437&lt;&gt;0,VLOOKUP($A437,Liste!$A$10:$W$59,11,FALSE),"")</f>
        <v>0</v>
      </c>
      <c r="F441" s="172"/>
      <c r="G441" s="82"/>
      <c r="H441" s="82"/>
      <c r="I441" s="82"/>
      <c r="J441" s="82"/>
      <c r="K441" s="82"/>
      <c r="L441" s="89"/>
    </row>
    <row r="442" spans="1:12" ht="13.8" thickBot="1" x14ac:dyDescent="0.3">
      <c r="A442" s="115" t="str">
        <f>IF($A437&lt;&gt;0,"Lot " &amp; VLOOKUP($A437,Liste!$A$10:$W$59,12,FALSE),"")</f>
        <v xml:space="preserve">Lot </v>
      </c>
      <c r="B442" s="111">
        <f>IF($A437&lt;&gt;0,VLOOKUP($A437,Liste!$A$10:$W$59,13,FALSE),"")</f>
        <v>0</v>
      </c>
      <c r="C442" s="110">
        <f>IF($A437&lt;&gt;0,VLOOKUP($A437,Liste!$A$10:$W$59,14,FALSE),"")</f>
        <v>0</v>
      </c>
      <c r="D442" s="111"/>
      <c r="E442" s="116"/>
      <c r="F442" s="173"/>
      <c r="G442" s="122"/>
      <c r="H442" s="122"/>
      <c r="I442" s="122"/>
      <c r="J442" s="122"/>
      <c r="K442" s="122"/>
      <c r="L442" s="128"/>
    </row>
    <row r="443" spans="1:12" x14ac:dyDescent="0.25">
      <c r="A443" s="125" t="str">
        <f>IF($A437&lt;&gt;0,"Lot " &amp; VLOOKUP($A437,Liste!$A$10:$W$59,15,FALSE),"")</f>
        <v xml:space="preserve">Lot </v>
      </c>
      <c r="B443" s="119">
        <f>IF($A437&lt;&gt;0,VLOOKUP($A437,Liste!$A$10:$W$59,16,FALSE),"")</f>
        <v>0</v>
      </c>
      <c r="C443" s="119">
        <f>IF($A437&lt;&gt;0,VLOOKUP($A437,Liste!$A$10:$W$59,17,FALSE),"")</f>
        <v>0</v>
      </c>
      <c r="D443" s="119"/>
      <c r="E443" s="125"/>
      <c r="F443" s="168"/>
      <c r="G443" s="168" t="s">
        <v>159</v>
      </c>
      <c r="H443" s="174" t="s">
        <v>160</v>
      </c>
      <c r="I443" s="84"/>
      <c r="J443" s="84"/>
      <c r="K443" s="84"/>
      <c r="L443" s="108"/>
    </row>
    <row r="444" spans="1:12" x14ac:dyDescent="0.25">
      <c r="A444" s="125" t="str">
        <f>IF($A437&lt;&gt;0,"Lot " &amp; VLOOKUP($A437,Liste!$A$10:$W$59,18,FALSE),"")</f>
        <v xml:space="preserve">Lot </v>
      </c>
      <c r="B444" s="119">
        <f>IF($A437&lt;&gt;0,VLOOKUP($A437,Liste!$A$10:$W$59,19,FALSE),"")</f>
        <v>0</v>
      </c>
      <c r="C444" s="119">
        <f>IF($A437&lt;&gt;0,VLOOKUP($A437,Liste!$A$10:$W$59,20,FALSE),"")</f>
        <v>0</v>
      </c>
      <c r="F444" s="169"/>
      <c r="G444" s="169" t="s">
        <v>161</v>
      </c>
      <c r="H444" s="174" t="s">
        <v>160</v>
      </c>
      <c r="I444" s="167"/>
      <c r="J444" s="167"/>
      <c r="K444" s="167"/>
      <c r="L444" s="176"/>
    </row>
    <row r="445" spans="1:12" ht="13.8" thickBot="1" x14ac:dyDescent="0.3">
      <c r="A445" s="124" t="str">
        <f>IF($A437&lt;&gt;0,"Lot " &amp; VLOOKUP($A437,Liste!$A$10:$W$59,21,FALSE),"")</f>
        <v xml:space="preserve">Lot </v>
      </c>
      <c r="B445" s="123">
        <f>IF($A437&lt;&gt;0,VLOOKUP($A437,Liste!$A$10:$W$59,22,FALSE),"")</f>
        <v>0</v>
      </c>
      <c r="C445" s="123">
        <f>IF($A437&lt;&gt;0,VLOOKUP($A437,Liste!$A$10:$W$59,23,FALSE),"")</f>
        <v>0</v>
      </c>
      <c r="D445" s="122"/>
      <c r="E445" s="122"/>
      <c r="F445" s="122"/>
      <c r="G445" s="226" t="str">
        <f>IF(OR(B438=0,VLOOKUP(A437,Liste!$A$10:'Liste'!$Z$59,26)&lt;&gt;""),"", "Voir autorisation messages électroniques")</f>
        <v/>
      </c>
      <c r="H445" s="226"/>
      <c r="I445" s="226"/>
      <c r="J445" s="122"/>
      <c r="K445" s="122"/>
      <c r="L445" s="128"/>
    </row>
    <row r="446" spans="1:12" ht="20.25" customHeight="1" x14ac:dyDescent="0.25">
      <c r="A446" s="120">
        <f>A437+1</f>
        <v>46</v>
      </c>
      <c r="B446" s="121"/>
      <c r="C446" s="82"/>
      <c r="D446" s="82"/>
      <c r="E446" s="82"/>
      <c r="F446" s="183"/>
      <c r="G446" s="181" t="s">
        <v>162</v>
      </c>
      <c r="H446" s="166"/>
      <c r="I446" s="166"/>
      <c r="J446" s="166"/>
      <c r="K446" s="166"/>
      <c r="L446" s="175"/>
    </row>
    <row r="447" spans="1:12" ht="21.6" thickBot="1" x14ac:dyDescent="0.45">
      <c r="A447" s="83">
        <f>IF($A446&lt;&gt;0,VLOOKUP($A446,Liste!$A$10:$W$59,3,FALSE),"")</f>
        <v>0</v>
      </c>
      <c r="B447" s="186">
        <f>IF($A446&lt;&gt;0,VLOOKUP($A446,Liste!$A$10:$W$59,4,FALSE),"")</f>
        <v>0</v>
      </c>
      <c r="E447" s="109" t="str">
        <f>IF($A446&lt;&gt;0,VLOOKUP($A446,Liste!$A$10:$W$59,8,FALSE),"")</f>
        <v/>
      </c>
      <c r="F447" s="184"/>
      <c r="G447" s="182" t="s">
        <v>158</v>
      </c>
      <c r="H447" s="106"/>
      <c r="I447" s="106"/>
      <c r="J447" s="106"/>
      <c r="K447" s="106"/>
      <c r="L447" s="26"/>
    </row>
    <row r="448" spans="1:12" x14ac:dyDescent="0.25">
      <c r="A448" s="114">
        <f>IF($A446&lt;&gt;0,VLOOKUP($A446,Liste!$A$10:$W$59,5,FALSE),"")</f>
        <v>0</v>
      </c>
      <c r="F448" s="170"/>
      <c r="G448" s="171" t="s">
        <v>163</v>
      </c>
      <c r="H448" s="171"/>
      <c r="I448" s="171"/>
      <c r="J448" s="171"/>
      <c r="K448" s="171"/>
      <c r="L448" s="127"/>
    </row>
    <row r="449" spans="1:12" x14ac:dyDescent="0.25">
      <c r="A449" s="114">
        <f>IF($A446&lt;&gt;0,VLOOKUP($A446,Liste!$A$10:$W$59,6,FALSE),"")</f>
        <v>0</v>
      </c>
      <c r="B449" s="107">
        <f>IF($A446&lt;&gt;0,VLOOKUP($A446,Liste!$A$10:$W$59,7,FALSE),"")</f>
        <v>0</v>
      </c>
      <c r="F449" s="172"/>
      <c r="G449" s="82"/>
      <c r="H449" s="82"/>
      <c r="I449" s="82"/>
      <c r="J449" s="82"/>
      <c r="K449" s="82"/>
      <c r="L449" s="89"/>
    </row>
    <row r="450" spans="1:12" x14ac:dyDescent="0.25">
      <c r="A450" s="115" t="str">
        <f xml:space="preserve"> IF($A446&lt;&gt;0, "Lot " &amp; VLOOKUP($A446,Liste!$A$10:$W$59,9,FALSE),"")</f>
        <v xml:space="preserve">Lot </v>
      </c>
      <c r="B450" s="111">
        <f>IF($A446&lt;&gt;0,VLOOKUP($A446,Liste!$A$10:$W$59,10,FALSE),"")</f>
        <v>0</v>
      </c>
      <c r="C450" s="110">
        <f>IF($A446&lt;&gt;0,VLOOKUP($A446,Liste!$A$10:$W$59,11,FALSE),"")</f>
        <v>0</v>
      </c>
      <c r="F450" s="172"/>
      <c r="G450" s="82"/>
      <c r="H450" s="82"/>
      <c r="I450" s="82"/>
      <c r="J450" s="82"/>
      <c r="K450" s="82"/>
      <c r="L450" s="89"/>
    </row>
    <row r="451" spans="1:12" ht="13.8" thickBot="1" x14ac:dyDescent="0.3">
      <c r="A451" s="115" t="str">
        <f>IF($A446&lt;&gt;0,"Lot " &amp; VLOOKUP($A446,Liste!$A$10:$W$59,12,FALSE),"")</f>
        <v xml:space="preserve">Lot </v>
      </c>
      <c r="B451" s="111">
        <f>IF($A446&lt;&gt;0,VLOOKUP($A446,Liste!$A$10:$W$59,13,FALSE),"")</f>
        <v>0</v>
      </c>
      <c r="C451" s="110">
        <f>IF($A446&lt;&gt;0,VLOOKUP($A446,Liste!$A$10:$W$59,14,FALSE),"")</f>
        <v>0</v>
      </c>
      <c r="D451" s="111"/>
      <c r="E451" s="116"/>
      <c r="F451" s="173"/>
      <c r="G451" s="122"/>
      <c r="H451" s="122"/>
      <c r="I451" s="122"/>
      <c r="J451" s="122"/>
      <c r="K451" s="122"/>
      <c r="L451" s="128"/>
    </row>
    <row r="452" spans="1:12" x14ac:dyDescent="0.25">
      <c r="A452" s="125" t="str">
        <f>IF($A446&lt;&gt;0,"Lot " &amp; VLOOKUP($A446,Liste!$A$10:$W$59,15,FALSE),"")</f>
        <v xml:space="preserve">Lot </v>
      </c>
      <c r="B452" s="119">
        <f>IF($A446&lt;&gt;0,VLOOKUP($A446,Liste!$A$10:$W$59,16,FALSE),"")</f>
        <v>0</v>
      </c>
      <c r="C452" s="119">
        <f>IF($A446&lt;&gt;0,VLOOKUP($A446,Liste!$A$10:$W$59,17,FALSE),"")</f>
        <v>0</v>
      </c>
      <c r="D452" s="119"/>
      <c r="E452" s="125"/>
      <c r="F452" s="168"/>
      <c r="G452" s="168" t="s">
        <v>159</v>
      </c>
      <c r="H452" s="174" t="s">
        <v>160</v>
      </c>
      <c r="I452" s="84"/>
      <c r="J452" s="84"/>
      <c r="K452" s="84"/>
      <c r="L452" s="108"/>
    </row>
    <row r="453" spans="1:12" x14ac:dyDescent="0.25">
      <c r="A453" s="125" t="str">
        <f>IF($A446&lt;&gt;0,"Lot " &amp; VLOOKUP($A446,Liste!$A$10:$W$59,18,FALSE),"")</f>
        <v xml:space="preserve">Lot </v>
      </c>
      <c r="B453" s="119">
        <f>IF($A446&lt;&gt;0,VLOOKUP($A446,Liste!$A$10:$W$59,19,FALSE),"")</f>
        <v>0</v>
      </c>
      <c r="C453" s="119">
        <f>IF($A446&lt;&gt;0,VLOOKUP($A446,Liste!$A$10:$W$59,20,FALSE),"")</f>
        <v>0</v>
      </c>
      <c r="F453" s="169"/>
      <c r="G453" s="169" t="s">
        <v>161</v>
      </c>
      <c r="H453" s="174" t="s">
        <v>160</v>
      </c>
      <c r="I453" s="167"/>
      <c r="J453" s="167"/>
      <c r="K453" s="167"/>
      <c r="L453" s="176"/>
    </row>
    <row r="454" spans="1:12" ht="13.8" thickBot="1" x14ac:dyDescent="0.3">
      <c r="A454" s="124" t="str">
        <f>IF($A446&lt;&gt;0,"Lot " &amp; VLOOKUP($A446,Liste!$A$10:$W$59,21,FALSE),"")</f>
        <v xml:space="preserve">Lot </v>
      </c>
      <c r="B454" s="123">
        <f>IF($A446&lt;&gt;0,VLOOKUP($A446,Liste!$A$10:$W$59,22,FALSE),"")</f>
        <v>0</v>
      </c>
      <c r="C454" s="123">
        <f>IF($A446&lt;&gt;0,VLOOKUP($A446,Liste!$A$10:$W$59,23,FALSE),"")</f>
        <v>0</v>
      </c>
      <c r="D454" s="122"/>
      <c r="E454" s="122"/>
      <c r="F454" s="122"/>
      <c r="G454" s="226" t="str">
        <f>IF(OR(B447=0,VLOOKUP(A446,Liste!$A$10:'Liste'!$Z$59,26)&lt;&gt;""),"", "Voir autorisation messages électroniques")</f>
        <v/>
      </c>
      <c r="H454" s="226"/>
      <c r="I454" s="226"/>
      <c r="J454" s="122"/>
      <c r="K454" s="122"/>
      <c r="L454" s="128"/>
    </row>
    <row r="455" spans="1:12" x14ac:dyDescent="0.25">
      <c r="A455" s="120">
        <f>A446+1</f>
        <v>47</v>
      </c>
      <c r="B455" s="121"/>
      <c r="C455" s="82"/>
      <c r="D455" s="82"/>
      <c r="E455" s="82"/>
      <c r="F455" s="183"/>
      <c r="G455" s="181" t="s">
        <v>162</v>
      </c>
      <c r="H455" s="166"/>
      <c r="I455" s="166"/>
      <c r="J455" s="166"/>
      <c r="K455" s="166"/>
      <c r="L455" s="175"/>
    </row>
    <row r="456" spans="1:12" ht="21.6" thickBot="1" x14ac:dyDescent="0.45">
      <c r="A456" s="83">
        <f>IF($A455&lt;&gt;0,VLOOKUP($A455,Liste!$A$10:$W$59,3,FALSE),"")</f>
        <v>0</v>
      </c>
      <c r="B456" s="186">
        <f>IF($A455&lt;&gt;0,VLOOKUP($A455,Liste!$A$10:$W$59,4,FALSE),"")</f>
        <v>0</v>
      </c>
      <c r="E456" s="109" t="str">
        <f>IF($A455&lt;&gt;0,VLOOKUP($A455,Liste!$A$10:$W$59,8,FALSE),"")</f>
        <v/>
      </c>
      <c r="F456" s="184"/>
      <c r="G456" s="182" t="s">
        <v>158</v>
      </c>
      <c r="H456" s="106"/>
      <c r="I456" s="106"/>
      <c r="J456" s="106"/>
      <c r="K456" s="106"/>
      <c r="L456" s="26"/>
    </row>
    <row r="457" spans="1:12" x14ac:dyDescent="0.25">
      <c r="A457" s="114">
        <f>IF($A455&lt;&gt;0,VLOOKUP($A455,Liste!$A$10:$W$59,5,FALSE),"")</f>
        <v>0</v>
      </c>
      <c r="F457" s="170"/>
      <c r="G457" s="171" t="s">
        <v>163</v>
      </c>
      <c r="H457" s="171"/>
      <c r="I457" s="171"/>
      <c r="J457" s="171"/>
      <c r="K457" s="171"/>
      <c r="L457" s="127"/>
    </row>
    <row r="458" spans="1:12" x14ac:dyDescent="0.25">
      <c r="A458" s="114">
        <f>IF($A455&lt;&gt;0,VLOOKUP($A455,Liste!$A$10:$W$59,6,FALSE),"")</f>
        <v>0</v>
      </c>
      <c r="B458" s="107">
        <f>IF($A455&lt;&gt;0,VLOOKUP($A455,Liste!$A$10:$W$59,7,FALSE),"")</f>
        <v>0</v>
      </c>
      <c r="F458" s="172"/>
      <c r="G458" s="82"/>
      <c r="H458" s="82"/>
      <c r="I458" s="82"/>
      <c r="J458" s="82"/>
      <c r="K458" s="82"/>
      <c r="L458" s="89"/>
    </row>
    <row r="459" spans="1:12" x14ac:dyDescent="0.25">
      <c r="A459" s="115" t="str">
        <f xml:space="preserve"> IF($A455&lt;&gt;0, "Lot " &amp; VLOOKUP($A455,Liste!$A$10:$W$59,9,FALSE),"")</f>
        <v xml:space="preserve">Lot </v>
      </c>
      <c r="B459" s="111">
        <f>IF($A455&lt;&gt;0,VLOOKUP($A455,Liste!$A$10:$W$59,10,FALSE),"")</f>
        <v>0</v>
      </c>
      <c r="C459" s="110">
        <f>IF($A455&lt;&gt;0,VLOOKUP($A455,Liste!$A$10:$W$59,11,FALSE),"")</f>
        <v>0</v>
      </c>
      <c r="F459" s="172"/>
      <c r="G459" s="82"/>
      <c r="H459" s="82"/>
      <c r="I459" s="82"/>
      <c r="J459" s="82"/>
      <c r="K459" s="82"/>
      <c r="L459" s="89"/>
    </row>
    <row r="460" spans="1:12" ht="13.8" thickBot="1" x14ac:dyDescent="0.3">
      <c r="A460" s="115" t="str">
        <f>IF($A455&lt;&gt;0,"Lot " &amp; VLOOKUP($A455,Liste!$A$10:$W$59,12,FALSE),"")</f>
        <v xml:space="preserve">Lot </v>
      </c>
      <c r="B460" s="111">
        <f>IF($A455&lt;&gt;0,VLOOKUP($A455,Liste!$A$10:$W$59,13,FALSE),"")</f>
        <v>0</v>
      </c>
      <c r="C460" s="110">
        <f>IF($A455&lt;&gt;0,VLOOKUP($A455,Liste!$A$10:$W$59,14,FALSE),"")</f>
        <v>0</v>
      </c>
      <c r="D460" s="111"/>
      <c r="E460" s="116"/>
      <c r="F460" s="173"/>
      <c r="G460" s="122"/>
      <c r="H460" s="122"/>
      <c r="I460" s="122"/>
      <c r="J460" s="122"/>
      <c r="K460" s="122"/>
      <c r="L460" s="128"/>
    </row>
    <row r="461" spans="1:12" x14ac:dyDescent="0.25">
      <c r="A461" s="125" t="str">
        <f>IF($A455&lt;&gt;0,"Lot " &amp; VLOOKUP($A455,Liste!$A$10:$W$59,15,FALSE),"")</f>
        <v xml:space="preserve">Lot </v>
      </c>
      <c r="B461" s="119">
        <f>IF($A455&lt;&gt;0,VLOOKUP($A455,Liste!$A$10:$W$59,16,FALSE),"")</f>
        <v>0</v>
      </c>
      <c r="C461" s="119">
        <f>IF($A455&lt;&gt;0,VLOOKUP($A455,Liste!$A$10:$W$59,17,FALSE),"")</f>
        <v>0</v>
      </c>
      <c r="D461" s="119"/>
      <c r="E461" s="125"/>
      <c r="F461" s="168"/>
      <c r="G461" s="168" t="s">
        <v>159</v>
      </c>
      <c r="H461" s="174" t="s">
        <v>160</v>
      </c>
      <c r="I461" s="84"/>
      <c r="J461" s="84"/>
      <c r="K461" s="84"/>
      <c r="L461" s="108"/>
    </row>
    <row r="462" spans="1:12" x14ac:dyDescent="0.25">
      <c r="A462" s="125" t="str">
        <f>IF($A455&lt;&gt;0,"Lot " &amp; VLOOKUP($A455,Liste!$A$10:$W$59,18,FALSE),"")</f>
        <v xml:space="preserve">Lot </v>
      </c>
      <c r="B462" s="119">
        <f>IF($A455&lt;&gt;0,VLOOKUP($A455,Liste!$A$10:$W$59,19,FALSE),"")</f>
        <v>0</v>
      </c>
      <c r="C462" s="119">
        <f>IF($A455&lt;&gt;0,VLOOKUP($A455,Liste!$A$10:$W$59,20,FALSE),"")</f>
        <v>0</v>
      </c>
      <c r="F462" s="169"/>
      <c r="G462" s="169" t="s">
        <v>161</v>
      </c>
      <c r="H462" s="174" t="s">
        <v>160</v>
      </c>
      <c r="I462" s="167"/>
      <c r="J462" s="167"/>
      <c r="K462" s="167"/>
      <c r="L462" s="176"/>
    </row>
    <row r="463" spans="1:12" ht="13.8" thickBot="1" x14ac:dyDescent="0.3">
      <c r="A463" s="124" t="str">
        <f>IF($A455&lt;&gt;0,"Lot " &amp; VLOOKUP($A455,Liste!$A$10:$W$59,21,FALSE),"")</f>
        <v xml:space="preserve">Lot </v>
      </c>
      <c r="B463" s="123">
        <f>IF($A455&lt;&gt;0,VLOOKUP($A455,Liste!$A$10:$W$59,22,FALSE),"")</f>
        <v>0</v>
      </c>
      <c r="C463" s="123">
        <f>IF($A455&lt;&gt;0,VLOOKUP($A455,Liste!$A$10:$W$59,23,FALSE),"")</f>
        <v>0</v>
      </c>
      <c r="D463" s="122"/>
      <c r="E463" s="122"/>
      <c r="F463" s="122"/>
      <c r="G463" s="122"/>
      <c r="H463" s="122"/>
      <c r="I463" s="122"/>
      <c r="J463" s="122"/>
      <c r="K463" s="122"/>
      <c r="L463" s="128"/>
    </row>
    <row r="464" spans="1:12" ht="21" customHeight="1" x14ac:dyDescent="0.25">
      <c r="A464" s="120">
        <f>A455+1</f>
        <v>48</v>
      </c>
      <c r="B464" s="121"/>
      <c r="C464" s="82"/>
      <c r="D464" s="82"/>
      <c r="E464" s="82"/>
      <c r="F464" s="183"/>
      <c r="G464" s="181" t="s">
        <v>162</v>
      </c>
      <c r="H464" s="166"/>
      <c r="I464" s="166"/>
      <c r="J464" s="166"/>
      <c r="K464" s="166"/>
      <c r="L464" s="175"/>
    </row>
    <row r="465" spans="1:12" ht="21.6" thickBot="1" x14ac:dyDescent="0.45">
      <c r="A465" s="83">
        <f>IF($A464&lt;&gt;0,VLOOKUP($A464,Liste!$A$10:$W$59,3,FALSE),"")</f>
        <v>0</v>
      </c>
      <c r="B465" s="186">
        <f>IF($A464&lt;&gt;0,VLOOKUP($A464,Liste!$A$10:$W$59,4,FALSE),"")</f>
        <v>0</v>
      </c>
      <c r="E465" s="109" t="str">
        <f>IF($A464&lt;&gt;0,VLOOKUP($A464,Liste!$A$10:$W$59,8,FALSE),"")</f>
        <v/>
      </c>
      <c r="F465" s="184"/>
      <c r="G465" s="182" t="s">
        <v>158</v>
      </c>
      <c r="H465" s="106"/>
      <c r="I465" s="106"/>
      <c r="J465" s="106"/>
      <c r="K465" s="106"/>
      <c r="L465" s="26"/>
    </row>
    <row r="466" spans="1:12" x14ac:dyDescent="0.25">
      <c r="A466" s="114">
        <f>IF($A464&lt;&gt;0,VLOOKUP($A464,Liste!$A$10:$W$59,5,FALSE),"")</f>
        <v>0</v>
      </c>
      <c r="F466" s="170"/>
      <c r="G466" s="171" t="s">
        <v>163</v>
      </c>
      <c r="H466" s="171"/>
      <c r="I466" s="171"/>
      <c r="J466" s="171"/>
      <c r="K466" s="171"/>
      <c r="L466" s="127"/>
    </row>
    <row r="467" spans="1:12" x14ac:dyDescent="0.25">
      <c r="A467" s="114">
        <f>IF($A464&lt;&gt;0,VLOOKUP($A464,Liste!$A$10:$W$59,6,FALSE),"")</f>
        <v>0</v>
      </c>
      <c r="B467" s="107">
        <f>IF($A464&lt;&gt;0,VLOOKUP($A464,Liste!$A$10:$W$59,7,FALSE),"")</f>
        <v>0</v>
      </c>
      <c r="F467" s="172"/>
      <c r="G467" s="82"/>
      <c r="H467" s="82"/>
      <c r="I467" s="82"/>
      <c r="J467" s="82"/>
      <c r="K467" s="82"/>
      <c r="L467" s="89"/>
    </row>
    <row r="468" spans="1:12" x14ac:dyDescent="0.25">
      <c r="A468" s="115" t="str">
        <f xml:space="preserve"> IF($A464&lt;&gt;0, "Lot " &amp; VLOOKUP($A464,Liste!$A$10:$W$59,9,FALSE),"")</f>
        <v xml:space="preserve">Lot </v>
      </c>
      <c r="B468" s="111">
        <f>IF($A464&lt;&gt;0,VLOOKUP($A464,Liste!$A$10:$W$59,10,FALSE),"")</f>
        <v>0</v>
      </c>
      <c r="C468" s="110">
        <f>IF($A464&lt;&gt;0,VLOOKUP($A464,Liste!$A$10:$W$59,11,FALSE),"")</f>
        <v>0</v>
      </c>
      <c r="F468" s="172"/>
      <c r="G468" s="82"/>
      <c r="H468" s="82"/>
      <c r="I468" s="82"/>
      <c r="J468" s="82"/>
      <c r="K468" s="82"/>
      <c r="L468" s="89"/>
    </row>
    <row r="469" spans="1:12" ht="13.8" thickBot="1" x14ac:dyDescent="0.3">
      <c r="A469" s="115" t="str">
        <f>IF($A464&lt;&gt;0,"Lot " &amp; VLOOKUP($A464,Liste!$A$10:$W$59,12,FALSE),"")</f>
        <v xml:space="preserve">Lot </v>
      </c>
      <c r="B469" s="111">
        <f>IF($A464&lt;&gt;0,VLOOKUP($A464,Liste!$A$10:$W$59,13,FALSE),"")</f>
        <v>0</v>
      </c>
      <c r="C469" s="110">
        <f>IF($A464&lt;&gt;0,VLOOKUP($A464,Liste!$A$10:$W$59,14,FALSE),"")</f>
        <v>0</v>
      </c>
      <c r="D469" s="111"/>
      <c r="E469" s="116"/>
      <c r="F469" s="173"/>
      <c r="G469" s="122"/>
      <c r="H469" s="122"/>
      <c r="I469" s="122"/>
      <c r="J469" s="122"/>
      <c r="K469" s="122"/>
      <c r="L469" s="128"/>
    </row>
    <row r="470" spans="1:12" x14ac:dyDescent="0.25">
      <c r="A470" s="125" t="str">
        <f>IF($A464&lt;&gt;0,"Lot " &amp; VLOOKUP($A464,Liste!$A$10:$W$59,15,FALSE),"")</f>
        <v xml:space="preserve">Lot </v>
      </c>
      <c r="B470" s="119">
        <f>IF($A464&lt;&gt;0,VLOOKUP($A464,Liste!$A$10:$W$59,16,FALSE),"")</f>
        <v>0</v>
      </c>
      <c r="C470" s="119">
        <f>IF($A464&lt;&gt;0,VLOOKUP($A464,Liste!$A$10:$W$59,17,FALSE),"")</f>
        <v>0</v>
      </c>
      <c r="D470" s="119"/>
      <c r="E470" s="125"/>
      <c r="F470" s="168"/>
      <c r="G470" s="168" t="s">
        <v>159</v>
      </c>
      <c r="H470" s="174" t="s">
        <v>160</v>
      </c>
      <c r="I470" s="84"/>
      <c r="J470" s="84"/>
      <c r="K470" s="84"/>
      <c r="L470" s="108"/>
    </row>
    <row r="471" spans="1:12" x14ac:dyDescent="0.25">
      <c r="A471" s="125" t="str">
        <f>IF($A464&lt;&gt;0,"Lot " &amp; VLOOKUP($A464,Liste!$A$10:$W$59,18,FALSE),"")</f>
        <v xml:space="preserve">Lot </v>
      </c>
      <c r="B471" s="119">
        <f>IF($A464&lt;&gt;0,VLOOKUP($A464,Liste!$A$10:$W$59,19,FALSE),"")</f>
        <v>0</v>
      </c>
      <c r="C471" s="119">
        <f>IF($A464&lt;&gt;0,VLOOKUP($A464,Liste!$A$10:$W$59,20,FALSE),"")</f>
        <v>0</v>
      </c>
      <c r="F471" s="169"/>
      <c r="G471" s="169" t="s">
        <v>161</v>
      </c>
      <c r="H471" s="174" t="s">
        <v>160</v>
      </c>
      <c r="I471" s="167"/>
      <c r="J471" s="167"/>
      <c r="K471" s="167"/>
      <c r="L471" s="176"/>
    </row>
    <row r="472" spans="1:12" ht="13.8" thickBot="1" x14ac:dyDescent="0.3">
      <c r="A472" s="124" t="str">
        <f>IF($A464&lt;&gt;0,"Lot " &amp; VLOOKUP($A464,Liste!$A$10:$W$59,21,FALSE),"")</f>
        <v xml:space="preserve">Lot </v>
      </c>
      <c r="B472" s="123">
        <f>IF($A464&lt;&gt;0,VLOOKUP($A464,Liste!$A$10:$W$59,22,FALSE),"")</f>
        <v>0</v>
      </c>
      <c r="C472" s="123">
        <f>IF($A464&lt;&gt;0,VLOOKUP($A464,Liste!$A$10:$W$59,23,FALSE),"")</f>
        <v>0</v>
      </c>
      <c r="D472" s="122"/>
      <c r="E472" s="122"/>
      <c r="F472" s="122"/>
      <c r="G472" s="226" t="str">
        <f>IF(OR(B465=0,VLOOKUP(A464,Liste!$A$10:'Liste'!$Z$59,26)&lt;&gt;""),"", "Voir autorisation messages électroniques")</f>
        <v/>
      </c>
      <c r="H472" s="226"/>
      <c r="I472" s="226"/>
      <c r="J472" s="122"/>
      <c r="K472" s="122"/>
      <c r="L472" s="128"/>
    </row>
    <row r="473" spans="1:12" x14ac:dyDescent="0.25">
      <c r="L473" s="82"/>
    </row>
    <row r="474" spans="1:12" ht="17.399999999999999" x14ac:dyDescent="0.3">
      <c r="D474" s="112" t="s">
        <v>93</v>
      </c>
      <c r="E474" s="112"/>
      <c r="F474" s="112"/>
      <c r="K474" s="133" t="s">
        <v>98</v>
      </c>
      <c r="L474" s="177">
        <f>L415+1</f>
        <v>9</v>
      </c>
    </row>
    <row r="475" spans="1:12" x14ac:dyDescent="0.25">
      <c r="E475" s="133" t="s">
        <v>114</v>
      </c>
      <c r="F475" s="133"/>
      <c r="G475" s="152">
        <f>IF(A478&gt;0,Liste!$C$1,"")</f>
        <v>44084</v>
      </c>
    </row>
    <row r="476" spans="1:12" x14ac:dyDescent="0.25">
      <c r="D476" t="str">
        <f>IF(A478&gt;0,Liste!$C$3&amp;"; "&amp;Liste!$C$4&amp;" "&amp;Liste!$C$5,"""")</f>
        <v>Résidence Le Paradis; Rue de l' espoir 75016 PARIS</v>
      </c>
      <c r="E476" s="152"/>
      <c r="F476" s="152"/>
      <c r="G476" s="152"/>
    </row>
    <row r="477" spans="1:12" ht="13.8" thickBot="1" x14ac:dyDescent="0.3">
      <c r="A477" s="84"/>
      <c r="B477" s="84"/>
      <c r="C477" s="84"/>
      <c r="D477" s="84"/>
      <c r="E477" s="84"/>
      <c r="F477" s="84"/>
      <c r="G477" s="84"/>
    </row>
    <row r="478" spans="1:12" ht="18.75" customHeight="1" x14ac:dyDescent="0.25">
      <c r="A478" s="120">
        <f>A464+1</f>
        <v>49</v>
      </c>
      <c r="B478" s="121"/>
      <c r="C478" s="82"/>
      <c r="D478" s="82"/>
      <c r="E478" s="82"/>
      <c r="F478" s="183"/>
      <c r="G478" s="181" t="s">
        <v>162</v>
      </c>
      <c r="H478" s="166"/>
      <c r="I478" s="166"/>
      <c r="J478" s="166"/>
      <c r="K478" s="166"/>
      <c r="L478" s="175"/>
    </row>
    <row r="479" spans="1:12" ht="18" thickBot="1" x14ac:dyDescent="0.35">
      <c r="A479" s="83">
        <f>IF($A478&lt;&gt;0,VLOOKUP($A478,Liste!$A$10:$W$59,3,FALSE),"")</f>
        <v>0</v>
      </c>
      <c r="B479" s="185">
        <f>IF($A478&lt;&gt;0,VLOOKUP($A478,Liste!$A$10:$W$59,4,FALSE),"")</f>
        <v>0</v>
      </c>
      <c r="E479" s="109" t="str">
        <f>IF($A478&lt;&gt;0,VLOOKUP($A478,Liste!$A$10:$W$59,8,FALSE),"")</f>
        <v/>
      </c>
      <c r="F479" s="184"/>
      <c r="G479" s="182" t="s">
        <v>158</v>
      </c>
      <c r="H479" s="106"/>
      <c r="I479" s="106"/>
      <c r="J479" s="106"/>
      <c r="K479" s="106"/>
      <c r="L479" s="26"/>
    </row>
    <row r="480" spans="1:12" x14ac:dyDescent="0.25">
      <c r="A480" s="114">
        <f>IF($A478&lt;&gt;0,VLOOKUP($A478,Liste!$A$10:$W$59,5,FALSE),"")</f>
        <v>0</v>
      </c>
      <c r="F480" s="170"/>
      <c r="G480" s="171" t="s">
        <v>163</v>
      </c>
      <c r="H480" s="171"/>
      <c r="I480" s="171"/>
      <c r="J480" s="171"/>
      <c r="K480" s="171"/>
      <c r="L480" s="127"/>
    </row>
    <row r="481" spans="1:12" x14ac:dyDescent="0.25">
      <c r="A481" s="114">
        <f>IF($A478&lt;&gt;0,VLOOKUP($A478,Liste!$A$10:$W$59,6,FALSE),"")</f>
        <v>0</v>
      </c>
      <c r="B481" s="107">
        <f>IF($A478&lt;&gt;0,VLOOKUP($A478,Liste!$A$10:$W$59,7,FALSE),"")</f>
        <v>0</v>
      </c>
      <c r="F481" s="172"/>
      <c r="G481" s="82"/>
      <c r="H481" s="82"/>
      <c r="I481" s="82"/>
      <c r="J481" s="82"/>
      <c r="K481" s="82"/>
      <c r="L481" s="89"/>
    </row>
    <row r="482" spans="1:12" x14ac:dyDescent="0.25">
      <c r="A482" s="115" t="str">
        <f xml:space="preserve"> IF($A478&lt;&gt;0, "Lot " &amp; VLOOKUP($A478,Liste!$A$10:$W$59,9,FALSE),"")</f>
        <v xml:space="preserve">Lot </v>
      </c>
      <c r="B482" s="111">
        <f>IF($A478&lt;&gt;0,VLOOKUP($A478,Liste!$A$10:$W$59,10,FALSE),"")</f>
        <v>0</v>
      </c>
      <c r="C482" s="110">
        <f>IF($A478&lt;&gt;0,VLOOKUP($A478,Liste!$A$10:$W$59,11,FALSE),"")</f>
        <v>0</v>
      </c>
      <c r="F482" s="172"/>
      <c r="G482" s="82"/>
      <c r="H482" s="82"/>
      <c r="I482" s="82"/>
      <c r="J482" s="82"/>
      <c r="K482" s="82"/>
      <c r="L482" s="89"/>
    </row>
    <row r="483" spans="1:12" ht="13.8" thickBot="1" x14ac:dyDescent="0.3">
      <c r="A483" s="115" t="str">
        <f>IF($A478&lt;&gt;0,"Lot " &amp; VLOOKUP($A478,Liste!$A$10:$W$59,12,FALSE),"")</f>
        <v xml:space="preserve">Lot </v>
      </c>
      <c r="B483" s="111">
        <f>IF($A478&lt;&gt;0,VLOOKUP($A478,Liste!$A$10:$W$59,13,FALSE),"")</f>
        <v>0</v>
      </c>
      <c r="C483" s="110">
        <f>IF($A478&lt;&gt;0,VLOOKUP($A478,Liste!$A$10:$W$59,14,FALSE),"")</f>
        <v>0</v>
      </c>
      <c r="D483" s="111"/>
      <c r="E483" s="116"/>
      <c r="F483" s="173"/>
      <c r="G483" s="122"/>
      <c r="H483" s="122"/>
      <c r="I483" s="122"/>
      <c r="J483" s="122"/>
      <c r="K483" s="122"/>
      <c r="L483" s="128"/>
    </row>
    <row r="484" spans="1:12" x14ac:dyDescent="0.25">
      <c r="A484" s="125" t="str">
        <f>IF($A478&lt;&gt;0,"Lot " &amp; VLOOKUP($A478,Liste!$A$10:$W$59,15,FALSE),"")</f>
        <v xml:space="preserve">Lot </v>
      </c>
      <c r="B484" s="119">
        <f>IF($A478&lt;&gt;0,VLOOKUP($A478,Liste!$A$10:$W$59,16,FALSE),"")</f>
        <v>0</v>
      </c>
      <c r="C484" s="119">
        <f>IF($A478&lt;&gt;0,VLOOKUP($A478,Liste!$A$10:$W$59,17,FALSE),"")</f>
        <v>0</v>
      </c>
      <c r="D484" s="119"/>
      <c r="E484" s="125"/>
      <c r="F484" s="168"/>
      <c r="G484" s="168" t="s">
        <v>159</v>
      </c>
      <c r="H484" s="174" t="s">
        <v>160</v>
      </c>
      <c r="I484" s="84"/>
      <c r="J484" s="84"/>
      <c r="K484" s="84"/>
      <c r="L484" s="108"/>
    </row>
    <row r="485" spans="1:12" x14ac:dyDescent="0.25">
      <c r="A485" s="125" t="str">
        <f>IF($A478&lt;&gt;0,"Lot " &amp; VLOOKUP($A478,Liste!$A$10:$W$59,18,FALSE),"")</f>
        <v xml:space="preserve">Lot </v>
      </c>
      <c r="B485" s="119">
        <f>IF($A478&lt;&gt;0,VLOOKUP($A478,Liste!$A$10:$W$59,19,FALSE),"")</f>
        <v>0</v>
      </c>
      <c r="C485" s="119">
        <f>IF($A478&lt;&gt;0,VLOOKUP($A478,Liste!$A$10:$W$59,19,FALSE),"")</f>
        <v>0</v>
      </c>
      <c r="F485" s="169"/>
      <c r="G485" s="169" t="s">
        <v>161</v>
      </c>
      <c r="H485" s="174" t="s">
        <v>160</v>
      </c>
      <c r="I485" s="167"/>
      <c r="J485" s="167"/>
      <c r="K485" s="167"/>
      <c r="L485" s="176"/>
    </row>
    <row r="486" spans="1:12" ht="13.8" thickBot="1" x14ac:dyDescent="0.3">
      <c r="A486" s="124" t="str">
        <f>IF($A478&lt;&gt;0,"Lot " &amp; VLOOKUP($A478,Liste!$A$10:$W$59,21,FALSE),"")</f>
        <v xml:space="preserve">Lot </v>
      </c>
      <c r="B486" s="123">
        <f>IF($A478&lt;&gt;0,VLOOKUP($A478,Liste!$A$10:$W$59,22,FALSE),"")</f>
        <v>0</v>
      </c>
      <c r="C486" s="123">
        <f>IF($A478&lt;&gt;0,VLOOKUP($A478,Liste!$A$10:$W$59,23,FALSE),"")</f>
        <v>0</v>
      </c>
      <c r="D486" s="122"/>
      <c r="E486" s="122"/>
      <c r="F486" s="122"/>
      <c r="G486" s="226" t="str">
        <f>IF(OR(B479=0,VLOOKUP(A478,Liste!$A$10:'Liste'!$Z$59,26)&lt;&gt;""),"", "Voir autorisation messages électroniques")</f>
        <v/>
      </c>
      <c r="H486" s="226"/>
      <c r="I486" s="226"/>
      <c r="J486" s="122"/>
      <c r="K486" s="122"/>
      <c r="L486" s="128"/>
    </row>
    <row r="487" spans="1:12" ht="16.5" customHeight="1" x14ac:dyDescent="0.25">
      <c r="A487" s="120">
        <f>A478+1</f>
        <v>50</v>
      </c>
      <c r="B487" s="121"/>
      <c r="C487" s="82"/>
      <c r="D487" s="82"/>
      <c r="E487" s="82"/>
      <c r="F487" s="183"/>
      <c r="G487" s="181" t="s">
        <v>162</v>
      </c>
      <c r="H487" s="166"/>
      <c r="I487" s="166"/>
      <c r="J487" s="166"/>
      <c r="K487" s="166"/>
      <c r="L487" s="175"/>
    </row>
    <row r="488" spans="1:12" ht="18" thickBot="1" x14ac:dyDescent="0.35">
      <c r="A488" s="83">
        <f>IF($A487&lt;&gt;0,VLOOKUP($A487,Liste!$A$10:$W$59,3,FALSE),"")</f>
        <v>0</v>
      </c>
      <c r="B488" s="185">
        <f>IF($A487&lt;&gt;0,VLOOKUP($A487,Liste!$A$10:$W$59,4,FALSE),"")</f>
        <v>0</v>
      </c>
      <c r="E488" s="109" t="str">
        <f>IF($A487&lt;&gt;0,VLOOKUP($A487,Liste!$A$10:$W$59,8,FALSE),"")</f>
        <v/>
      </c>
      <c r="F488" s="184"/>
      <c r="G488" s="182" t="s">
        <v>158</v>
      </c>
      <c r="H488" s="106"/>
      <c r="I488" s="106"/>
      <c r="J488" s="106"/>
      <c r="K488" s="106"/>
      <c r="L488" s="26"/>
    </row>
    <row r="489" spans="1:12" x14ac:dyDescent="0.25">
      <c r="A489" s="114">
        <f>IF($A487&lt;&gt;0,VLOOKUP($A487,Liste!$A$10:$W$59,5,FALSE),"")</f>
        <v>0</v>
      </c>
      <c r="F489" s="170"/>
      <c r="G489" s="171" t="s">
        <v>163</v>
      </c>
      <c r="H489" s="171"/>
      <c r="I489" s="171"/>
      <c r="J489" s="171"/>
      <c r="K489" s="171"/>
      <c r="L489" s="127"/>
    </row>
    <row r="490" spans="1:12" x14ac:dyDescent="0.25">
      <c r="A490" s="114">
        <f>IF($A487&lt;&gt;0,VLOOKUP($A487,Liste!$A$10:$W$59,6,FALSE),"")</f>
        <v>0</v>
      </c>
      <c r="B490" s="107">
        <f>IF($A487&lt;&gt;0,VLOOKUP($A487,Liste!$A$10:$W$59,7,FALSE),"")</f>
        <v>0</v>
      </c>
      <c r="F490" s="172"/>
      <c r="G490" s="82"/>
      <c r="H490" s="82"/>
      <c r="I490" s="82"/>
      <c r="J490" s="82"/>
      <c r="K490" s="82"/>
      <c r="L490" s="89"/>
    </row>
    <row r="491" spans="1:12" x14ac:dyDescent="0.25">
      <c r="A491" s="115" t="str">
        <f xml:space="preserve"> IF($A487&lt;&gt;0, "Lot " &amp; VLOOKUP($A487,Liste!$A$10:$W$59,9,FALSE),"")</f>
        <v xml:space="preserve">Lot </v>
      </c>
      <c r="B491" s="111">
        <f>IF($A487&lt;&gt;0,VLOOKUP($A487,Liste!$A$10:$W$59,10,FALSE),"")</f>
        <v>0</v>
      </c>
      <c r="C491" s="110">
        <f>IF($A487&lt;&gt;0,VLOOKUP($A487,Liste!$A$10:$W$59,11,FALSE),"")</f>
        <v>0</v>
      </c>
      <c r="F491" s="172"/>
      <c r="G491" s="82"/>
      <c r="H491" s="82"/>
      <c r="I491" s="82"/>
      <c r="J491" s="82"/>
      <c r="K491" s="82"/>
      <c r="L491" s="89"/>
    </row>
    <row r="492" spans="1:12" ht="13.8" thickBot="1" x14ac:dyDescent="0.3">
      <c r="A492" s="115" t="str">
        <f>IF($A487&lt;&gt;0,"Lot " &amp; VLOOKUP($A487,Liste!$A$10:$W$59,12,FALSE),"")</f>
        <v xml:space="preserve">Lot </v>
      </c>
      <c r="B492" s="111">
        <f>IF($A487&lt;&gt;0,VLOOKUP($A487,Liste!$A$10:$W$59,13,FALSE),"")</f>
        <v>0</v>
      </c>
      <c r="C492" s="110">
        <f>IF($A487&lt;&gt;0,VLOOKUP($A487,Liste!$A$10:$W$59,14,FALSE),"")</f>
        <v>0</v>
      </c>
      <c r="D492" s="111"/>
      <c r="E492" s="116"/>
      <c r="F492" s="173"/>
      <c r="G492" s="122"/>
      <c r="H492" s="122"/>
      <c r="I492" s="122"/>
      <c r="J492" s="122"/>
      <c r="K492" s="122"/>
      <c r="L492" s="128"/>
    </row>
    <row r="493" spans="1:12" x14ac:dyDescent="0.25">
      <c r="A493" s="125" t="str">
        <f>IF($A487&lt;&gt;0,"Lot " &amp; VLOOKUP($A487,Liste!$A$10:$W$59,15,FALSE),"")</f>
        <v xml:space="preserve">Lot </v>
      </c>
      <c r="B493" s="119">
        <f>IF($A487&lt;&gt;0,VLOOKUP($A487,Liste!$A$10:$W$59,16,FALSE),"")</f>
        <v>0</v>
      </c>
      <c r="C493" s="119">
        <f>IF($A487&lt;&gt;0,VLOOKUP($A487,Liste!$A$10:$W$59,17,FALSE),"")</f>
        <v>0</v>
      </c>
      <c r="D493" s="119"/>
      <c r="E493" s="125"/>
      <c r="F493" s="168"/>
      <c r="G493" s="168" t="s">
        <v>159</v>
      </c>
      <c r="H493" s="174" t="s">
        <v>160</v>
      </c>
      <c r="I493" s="84"/>
      <c r="J493" s="84"/>
      <c r="K493" s="84"/>
      <c r="L493" s="108"/>
    </row>
    <row r="494" spans="1:12" x14ac:dyDescent="0.25">
      <c r="A494" s="125" t="str">
        <f>IF($A487&lt;&gt;0,"Lot " &amp; VLOOKUP($A487,Liste!$A$10:$W$59,18,FALSE),"")</f>
        <v xml:space="preserve">Lot </v>
      </c>
      <c r="B494" s="119">
        <f>IF($A487&lt;&gt;0,VLOOKUP($A487,Liste!$A$10:$W$59,19,FALSE),"")</f>
        <v>0</v>
      </c>
      <c r="C494" s="119">
        <f>IF($A487&lt;&gt;0,VLOOKUP($A487,Liste!$A$10:$W$59,20,FALSE),"")</f>
        <v>0</v>
      </c>
      <c r="F494" s="169"/>
      <c r="G494" s="169" t="s">
        <v>161</v>
      </c>
      <c r="H494" s="174" t="s">
        <v>160</v>
      </c>
      <c r="I494" s="167"/>
      <c r="J494" s="167"/>
      <c r="K494" s="167"/>
      <c r="L494" s="176"/>
    </row>
    <row r="495" spans="1:12" ht="13.8" thickBot="1" x14ac:dyDescent="0.3">
      <c r="A495" s="124" t="str">
        <f>IF($A487&lt;&gt;0,"Lot " &amp; VLOOKUP($A487,Liste!$A$10:$W$59,21,FALSE),"")</f>
        <v xml:space="preserve">Lot </v>
      </c>
      <c r="B495" s="123">
        <f>IF($A487&lt;&gt;0,VLOOKUP($A487,Liste!$A$10:$W$59,22,FALSE),"")</f>
        <v>0</v>
      </c>
      <c r="C495" s="123">
        <f>IF($A487&lt;&gt;0,VLOOKUP($A487,Liste!$A$10:$W$59,23,FALSE),"")</f>
        <v>0</v>
      </c>
      <c r="D495" s="122"/>
      <c r="E495" s="122"/>
      <c r="F495" s="122"/>
      <c r="G495" s="226" t="str">
        <f>IF(OR(B488=0,VLOOKUP(A487,Liste!$A$10:'Liste'!$Z$59,26)&lt;&gt;""),"", "Voir autorisation messages électroniques")</f>
        <v/>
      </c>
      <c r="H495" s="226"/>
      <c r="I495" s="226"/>
      <c r="J495" s="122"/>
      <c r="K495" s="122"/>
      <c r="L495" s="128"/>
    </row>
    <row r="496" spans="1:12" ht="21.75" customHeight="1" x14ac:dyDescent="0.25"/>
    <row r="505" ht="21.75" customHeight="1" x14ac:dyDescent="0.25"/>
    <row r="514" ht="21.75" customHeight="1" x14ac:dyDescent="0.25"/>
    <row r="523" ht="19.5" customHeight="1" x14ac:dyDescent="0.25"/>
    <row r="537" ht="17.25" customHeight="1" x14ac:dyDescent="0.25"/>
    <row r="546" ht="17.25" customHeight="1" x14ac:dyDescent="0.25"/>
    <row r="555" ht="21" customHeight="1" x14ac:dyDescent="0.25"/>
    <row r="564" ht="18" customHeight="1" x14ac:dyDescent="0.25"/>
    <row r="573" ht="18.75" customHeight="1" x14ac:dyDescent="0.25"/>
    <row r="582" ht="21.75" customHeight="1" x14ac:dyDescent="0.25"/>
    <row r="596" ht="19.5" customHeight="1" x14ac:dyDescent="0.25"/>
    <row r="605" ht="21" customHeight="1" x14ac:dyDescent="0.25"/>
    <row r="614" ht="18.75" customHeight="1" x14ac:dyDescent="0.25"/>
    <row r="631" ht="14.25" customHeight="1" x14ac:dyDescent="0.25"/>
    <row r="632" ht="18.75" customHeight="1" x14ac:dyDescent="0.25"/>
    <row r="641" ht="21" customHeight="1" x14ac:dyDescent="0.25"/>
    <row r="1048576" spans="7:7" x14ac:dyDescent="0.25">
      <c r="G1048576">
        <f>SUM(G1:G1048575)</f>
        <v>396756</v>
      </c>
    </row>
  </sheetData>
  <mergeCells count="49">
    <mergeCell ref="G59:I59"/>
    <mergeCell ref="G14:I14"/>
    <mergeCell ref="G23:I23"/>
    <mergeCell ref="G32:I32"/>
    <mergeCell ref="G41:I41"/>
    <mergeCell ref="G50:I50"/>
    <mergeCell ref="G177:I177"/>
    <mergeCell ref="G73:I73"/>
    <mergeCell ref="G82:I82"/>
    <mergeCell ref="G91:I91"/>
    <mergeCell ref="G100:I100"/>
    <mergeCell ref="G109:I109"/>
    <mergeCell ref="G118:I118"/>
    <mergeCell ref="G132:I132"/>
    <mergeCell ref="G141:I141"/>
    <mergeCell ref="G150:I150"/>
    <mergeCell ref="G159:I159"/>
    <mergeCell ref="G168:I168"/>
    <mergeCell ref="G295:I295"/>
    <mergeCell ref="G191:I191"/>
    <mergeCell ref="G200:I200"/>
    <mergeCell ref="G209:I209"/>
    <mergeCell ref="G218:I218"/>
    <mergeCell ref="G227:I227"/>
    <mergeCell ref="G236:I236"/>
    <mergeCell ref="G250:I250"/>
    <mergeCell ref="G259:I259"/>
    <mergeCell ref="G268:I268"/>
    <mergeCell ref="G277:I277"/>
    <mergeCell ref="G286:I286"/>
    <mergeCell ref="G413:I413"/>
    <mergeCell ref="G309:I309"/>
    <mergeCell ref="G318:I318"/>
    <mergeCell ref="G327:I327"/>
    <mergeCell ref="G336:I336"/>
    <mergeCell ref="G345:I345"/>
    <mergeCell ref="G354:I354"/>
    <mergeCell ref="G368:I368"/>
    <mergeCell ref="G377:I377"/>
    <mergeCell ref="G386:I386"/>
    <mergeCell ref="G395:I395"/>
    <mergeCell ref="G404:I404"/>
    <mergeCell ref="G495:I495"/>
    <mergeCell ref="G427:I427"/>
    <mergeCell ref="G436:I436"/>
    <mergeCell ref="G445:I445"/>
    <mergeCell ref="G454:I454"/>
    <mergeCell ref="G472:I472"/>
    <mergeCell ref="G486:I486"/>
  </mergeCells>
  <conditionalFormatting sqref="M4">
    <cfRule type="containsText" dxfId="98" priority="101" operator="containsText" text="ERREUR">
      <formula>NOT(ISERROR(SEARCH("ERREUR",M4)))</formula>
    </cfRule>
  </conditionalFormatting>
  <conditionalFormatting sqref="G14">
    <cfRule type="containsText" dxfId="97" priority="98" operator="containsText" text="Voir autorisation messages électriniques">
      <formula>NOT(ISERROR(SEARCH("Voir autorisation messages électriniques",G14)))</formula>
    </cfRule>
  </conditionalFormatting>
  <conditionalFormatting sqref="G14">
    <cfRule type="containsText" dxfId="96" priority="97" operator="containsText" text="Voir autorisation messages électroniques">
      <formula>NOT(ISERROR(SEARCH("Voir autorisation messages électroniques",G14)))</formula>
    </cfRule>
  </conditionalFormatting>
  <conditionalFormatting sqref="G23">
    <cfRule type="containsText" dxfId="95" priority="96" operator="containsText" text="Voir autorisation messages électriniques">
      <formula>NOT(ISERROR(SEARCH("Voir autorisation messages électriniques",G23)))</formula>
    </cfRule>
  </conditionalFormatting>
  <conditionalFormatting sqref="G23">
    <cfRule type="containsText" dxfId="94" priority="95" operator="containsText" text="Voir autorisation messages électroniques">
      <formula>NOT(ISERROR(SEARCH("Voir autorisation messages électroniques",G23)))</formula>
    </cfRule>
  </conditionalFormatting>
  <conditionalFormatting sqref="G32">
    <cfRule type="containsText" dxfId="93" priority="94" operator="containsText" text="Voir autorisation messages électriniques">
      <formula>NOT(ISERROR(SEARCH("Voir autorisation messages électriniques",G32)))</formula>
    </cfRule>
  </conditionalFormatting>
  <conditionalFormatting sqref="G32">
    <cfRule type="containsText" dxfId="92" priority="93" operator="containsText" text="Voir autorisation messages électroniques">
      <formula>NOT(ISERROR(SEARCH("Voir autorisation messages électroniques",G32)))</formula>
    </cfRule>
  </conditionalFormatting>
  <conditionalFormatting sqref="G41">
    <cfRule type="containsText" dxfId="91" priority="92" operator="containsText" text="Voir autorisation messages électriniques">
      <formula>NOT(ISERROR(SEARCH("Voir autorisation messages électriniques",G41)))</formula>
    </cfRule>
  </conditionalFormatting>
  <conditionalFormatting sqref="G41">
    <cfRule type="containsText" dxfId="90" priority="91" operator="containsText" text="Voir autorisation messages électroniques">
      <formula>NOT(ISERROR(SEARCH("Voir autorisation messages électroniques",G41)))</formula>
    </cfRule>
  </conditionalFormatting>
  <conditionalFormatting sqref="G50">
    <cfRule type="containsText" dxfId="89" priority="90" operator="containsText" text="Voir autorisation messages électriniques">
      <formula>NOT(ISERROR(SEARCH("Voir autorisation messages électriniques",G50)))</formula>
    </cfRule>
  </conditionalFormatting>
  <conditionalFormatting sqref="G50">
    <cfRule type="containsText" dxfId="88" priority="89" operator="containsText" text="Voir autorisation messages électroniques">
      <formula>NOT(ISERROR(SEARCH("Voir autorisation messages électroniques",G50)))</formula>
    </cfRule>
  </conditionalFormatting>
  <conditionalFormatting sqref="G59">
    <cfRule type="containsText" dxfId="87" priority="88" operator="containsText" text="Voir autorisation messages électriniques">
      <formula>NOT(ISERROR(SEARCH("Voir autorisation messages électriniques",G59)))</formula>
    </cfRule>
  </conditionalFormatting>
  <conditionalFormatting sqref="G59">
    <cfRule type="containsText" dxfId="86" priority="87" operator="containsText" text="Voir autorisation messages électroniques">
      <formula>NOT(ISERROR(SEARCH("Voir autorisation messages électroniques",G59)))</formula>
    </cfRule>
  </conditionalFormatting>
  <conditionalFormatting sqref="G73">
    <cfRule type="containsText" dxfId="85" priority="86" operator="containsText" text="Voir autorisation messages électriniques">
      <formula>NOT(ISERROR(SEARCH("Voir autorisation messages électriniques",G73)))</formula>
    </cfRule>
  </conditionalFormatting>
  <conditionalFormatting sqref="G73">
    <cfRule type="containsText" dxfId="84" priority="85" operator="containsText" text="Voir autorisation messages électroniques">
      <formula>NOT(ISERROR(SEARCH("Voir autorisation messages électroniques",G73)))</formula>
    </cfRule>
  </conditionalFormatting>
  <conditionalFormatting sqref="G82">
    <cfRule type="containsText" dxfId="83" priority="84" operator="containsText" text="Voir autorisation messages électriniques">
      <formula>NOT(ISERROR(SEARCH("Voir autorisation messages électriniques",G82)))</formula>
    </cfRule>
  </conditionalFormatting>
  <conditionalFormatting sqref="G82">
    <cfRule type="containsText" dxfId="82" priority="83" operator="containsText" text="Voir autorisation messages électroniques">
      <formula>NOT(ISERROR(SEARCH("Voir autorisation messages électroniques",G82)))</formula>
    </cfRule>
  </conditionalFormatting>
  <conditionalFormatting sqref="G91">
    <cfRule type="containsText" dxfId="81" priority="82" operator="containsText" text="Voir autorisation messages électriniques">
      <formula>NOT(ISERROR(SEARCH("Voir autorisation messages électriniques",G91)))</formula>
    </cfRule>
  </conditionalFormatting>
  <conditionalFormatting sqref="G91">
    <cfRule type="containsText" dxfId="80" priority="81" operator="containsText" text="Voir autorisation messages électroniques">
      <formula>NOT(ISERROR(SEARCH("Voir autorisation messages électroniques",G91)))</formula>
    </cfRule>
  </conditionalFormatting>
  <conditionalFormatting sqref="G100">
    <cfRule type="containsText" dxfId="79" priority="80" operator="containsText" text="Voir autorisation messages électriniques">
      <formula>NOT(ISERROR(SEARCH("Voir autorisation messages électriniques",G100)))</formula>
    </cfRule>
  </conditionalFormatting>
  <conditionalFormatting sqref="G100">
    <cfRule type="containsText" dxfId="78" priority="79" operator="containsText" text="Voir autorisation messages électroniques">
      <formula>NOT(ISERROR(SEARCH("Voir autorisation messages électroniques",G100)))</formula>
    </cfRule>
  </conditionalFormatting>
  <conditionalFormatting sqref="G109">
    <cfRule type="containsText" dxfId="77" priority="78" operator="containsText" text="Voir autorisation messages électriniques">
      <formula>NOT(ISERROR(SEARCH("Voir autorisation messages électriniques",G109)))</formula>
    </cfRule>
  </conditionalFormatting>
  <conditionalFormatting sqref="G109">
    <cfRule type="containsText" dxfId="76" priority="77" operator="containsText" text="Voir autorisation messages électroniques">
      <formula>NOT(ISERROR(SEARCH("Voir autorisation messages électroniques",G109)))</formula>
    </cfRule>
  </conditionalFormatting>
  <conditionalFormatting sqref="G118">
    <cfRule type="containsText" dxfId="75" priority="76" operator="containsText" text="Voir autorisation messages électriniques">
      <formula>NOT(ISERROR(SEARCH("Voir autorisation messages électriniques",G118)))</formula>
    </cfRule>
  </conditionalFormatting>
  <conditionalFormatting sqref="G118">
    <cfRule type="containsText" dxfId="74" priority="75" operator="containsText" text="Voir autorisation messages électroniques">
      <formula>NOT(ISERROR(SEARCH("Voir autorisation messages électroniques",G118)))</formula>
    </cfRule>
  </conditionalFormatting>
  <conditionalFormatting sqref="G132">
    <cfRule type="containsText" dxfId="73" priority="74" operator="containsText" text="Voir autorisation messages électriniques">
      <formula>NOT(ISERROR(SEARCH("Voir autorisation messages électriniques",G132)))</formula>
    </cfRule>
  </conditionalFormatting>
  <conditionalFormatting sqref="G132">
    <cfRule type="containsText" dxfId="72" priority="73" operator="containsText" text="Voir autorisation messages électroniques">
      <formula>NOT(ISERROR(SEARCH("Voir autorisation messages électroniques",G132)))</formula>
    </cfRule>
  </conditionalFormatting>
  <conditionalFormatting sqref="G141">
    <cfRule type="containsText" dxfId="71" priority="72" operator="containsText" text="Voir autorisation messages électriniques">
      <formula>NOT(ISERROR(SEARCH("Voir autorisation messages électriniques",G141)))</formula>
    </cfRule>
  </conditionalFormatting>
  <conditionalFormatting sqref="G141">
    <cfRule type="containsText" dxfId="70" priority="71" operator="containsText" text="Voir autorisation messages électroniques">
      <formula>NOT(ISERROR(SEARCH("Voir autorisation messages électroniques",G141)))</formula>
    </cfRule>
  </conditionalFormatting>
  <conditionalFormatting sqref="G150">
    <cfRule type="containsText" dxfId="69" priority="70" operator="containsText" text="Voir autorisation messages électriniques">
      <formula>NOT(ISERROR(SEARCH("Voir autorisation messages électriniques",G150)))</formula>
    </cfRule>
  </conditionalFormatting>
  <conditionalFormatting sqref="G150">
    <cfRule type="containsText" dxfId="68" priority="69" operator="containsText" text="Voir autorisation messages électroniques">
      <formula>NOT(ISERROR(SEARCH("Voir autorisation messages électroniques",G150)))</formula>
    </cfRule>
  </conditionalFormatting>
  <conditionalFormatting sqref="G159">
    <cfRule type="containsText" dxfId="67" priority="68" operator="containsText" text="Voir autorisation messages électriniques">
      <formula>NOT(ISERROR(SEARCH("Voir autorisation messages électriniques",G159)))</formula>
    </cfRule>
  </conditionalFormatting>
  <conditionalFormatting sqref="G159">
    <cfRule type="containsText" dxfId="66" priority="67" operator="containsText" text="Voir autorisation messages électroniques">
      <formula>NOT(ISERROR(SEARCH("Voir autorisation messages électroniques",G159)))</formula>
    </cfRule>
  </conditionalFormatting>
  <conditionalFormatting sqref="G168">
    <cfRule type="containsText" dxfId="65" priority="66" operator="containsText" text="Voir autorisation messages électriniques">
      <formula>NOT(ISERROR(SEARCH("Voir autorisation messages électriniques",G168)))</formula>
    </cfRule>
  </conditionalFormatting>
  <conditionalFormatting sqref="G168">
    <cfRule type="containsText" dxfId="64" priority="65" operator="containsText" text="Voir autorisation messages électroniques">
      <formula>NOT(ISERROR(SEARCH("Voir autorisation messages électroniques",G168)))</formula>
    </cfRule>
  </conditionalFormatting>
  <conditionalFormatting sqref="G177">
    <cfRule type="containsText" dxfId="63" priority="64" operator="containsText" text="Voir autorisation messages électriniques">
      <formula>NOT(ISERROR(SEARCH("Voir autorisation messages électriniques",G177)))</formula>
    </cfRule>
  </conditionalFormatting>
  <conditionalFormatting sqref="G177">
    <cfRule type="containsText" dxfId="62" priority="63" operator="containsText" text="Voir autorisation messages électroniques">
      <formula>NOT(ISERROR(SEARCH("Voir autorisation messages électroniques",G177)))</formula>
    </cfRule>
  </conditionalFormatting>
  <conditionalFormatting sqref="G191">
    <cfRule type="containsText" dxfId="61" priority="62" operator="containsText" text="Voir autorisation messages électriniques">
      <formula>NOT(ISERROR(SEARCH("Voir autorisation messages électriniques",G191)))</formula>
    </cfRule>
  </conditionalFormatting>
  <conditionalFormatting sqref="G191">
    <cfRule type="containsText" dxfId="60" priority="61" operator="containsText" text="Voir autorisation messages électroniques">
      <formula>NOT(ISERROR(SEARCH("Voir autorisation messages électroniques",G191)))</formula>
    </cfRule>
  </conditionalFormatting>
  <conditionalFormatting sqref="G200">
    <cfRule type="containsText" dxfId="59" priority="60" operator="containsText" text="Voir autorisation messages électriniques">
      <formula>NOT(ISERROR(SEARCH("Voir autorisation messages électriniques",G200)))</formula>
    </cfRule>
  </conditionalFormatting>
  <conditionalFormatting sqref="G200">
    <cfRule type="containsText" dxfId="58" priority="59" operator="containsText" text="Voir autorisation messages électroniques">
      <formula>NOT(ISERROR(SEARCH("Voir autorisation messages électroniques",G200)))</formula>
    </cfRule>
  </conditionalFormatting>
  <conditionalFormatting sqref="G209">
    <cfRule type="containsText" dxfId="57" priority="58" operator="containsText" text="Voir autorisation messages électriniques">
      <formula>NOT(ISERROR(SEARCH("Voir autorisation messages électriniques",G209)))</formula>
    </cfRule>
  </conditionalFormatting>
  <conditionalFormatting sqref="G209">
    <cfRule type="containsText" dxfId="56" priority="57" operator="containsText" text="Voir autorisation messages électroniques">
      <formula>NOT(ISERROR(SEARCH("Voir autorisation messages électroniques",G209)))</formula>
    </cfRule>
  </conditionalFormatting>
  <conditionalFormatting sqref="G218">
    <cfRule type="containsText" dxfId="55" priority="56" operator="containsText" text="Voir autorisation messages électriniques">
      <formula>NOT(ISERROR(SEARCH("Voir autorisation messages électriniques",G218)))</formula>
    </cfRule>
  </conditionalFormatting>
  <conditionalFormatting sqref="G218">
    <cfRule type="containsText" dxfId="54" priority="55" operator="containsText" text="Voir autorisation messages électroniques">
      <formula>NOT(ISERROR(SEARCH("Voir autorisation messages électroniques",G218)))</formula>
    </cfRule>
  </conditionalFormatting>
  <conditionalFormatting sqref="G227">
    <cfRule type="containsText" dxfId="53" priority="54" operator="containsText" text="Voir autorisation messages électriniques">
      <formula>NOT(ISERROR(SEARCH("Voir autorisation messages électriniques",G227)))</formula>
    </cfRule>
  </conditionalFormatting>
  <conditionalFormatting sqref="G227">
    <cfRule type="containsText" dxfId="52" priority="53" operator="containsText" text="Voir autorisation messages électroniques">
      <formula>NOT(ISERROR(SEARCH("Voir autorisation messages électroniques",G227)))</formula>
    </cfRule>
  </conditionalFormatting>
  <conditionalFormatting sqref="G236">
    <cfRule type="containsText" dxfId="51" priority="52" operator="containsText" text="Voir autorisation messages électriniques">
      <formula>NOT(ISERROR(SEARCH("Voir autorisation messages électriniques",G236)))</formula>
    </cfRule>
  </conditionalFormatting>
  <conditionalFormatting sqref="G236">
    <cfRule type="containsText" dxfId="50" priority="51" operator="containsText" text="Voir autorisation messages électroniques">
      <formula>NOT(ISERROR(SEARCH("Voir autorisation messages électroniques",G236)))</formula>
    </cfRule>
  </conditionalFormatting>
  <conditionalFormatting sqref="G250">
    <cfRule type="containsText" dxfId="49" priority="50" operator="containsText" text="Voir autorisation messages électriniques">
      <formula>NOT(ISERROR(SEARCH("Voir autorisation messages électriniques",G250)))</formula>
    </cfRule>
  </conditionalFormatting>
  <conditionalFormatting sqref="G250">
    <cfRule type="containsText" dxfId="48" priority="49" operator="containsText" text="Voir autorisation messages électroniques">
      <formula>NOT(ISERROR(SEARCH("Voir autorisation messages électroniques",G250)))</formula>
    </cfRule>
  </conditionalFormatting>
  <conditionalFormatting sqref="G259">
    <cfRule type="containsText" dxfId="47" priority="48" operator="containsText" text="Voir autorisation messages électriniques">
      <formula>NOT(ISERROR(SEARCH("Voir autorisation messages électriniques",G259)))</formula>
    </cfRule>
  </conditionalFormatting>
  <conditionalFormatting sqref="G259">
    <cfRule type="containsText" dxfId="46" priority="47" operator="containsText" text="Voir autorisation messages électroniques">
      <formula>NOT(ISERROR(SEARCH("Voir autorisation messages électroniques",G259)))</formula>
    </cfRule>
  </conditionalFormatting>
  <conditionalFormatting sqref="G268">
    <cfRule type="containsText" dxfId="45" priority="46" operator="containsText" text="Voir autorisation messages électriniques">
      <formula>NOT(ISERROR(SEARCH("Voir autorisation messages électriniques",G268)))</formula>
    </cfRule>
  </conditionalFormatting>
  <conditionalFormatting sqref="G268">
    <cfRule type="containsText" dxfId="44" priority="45" operator="containsText" text="Voir autorisation messages électroniques">
      <formula>NOT(ISERROR(SEARCH("Voir autorisation messages électroniques",G268)))</formula>
    </cfRule>
  </conditionalFormatting>
  <conditionalFormatting sqref="G277">
    <cfRule type="containsText" dxfId="43" priority="44" operator="containsText" text="Voir autorisation messages électriniques">
      <formula>NOT(ISERROR(SEARCH("Voir autorisation messages électriniques",G277)))</formula>
    </cfRule>
  </conditionalFormatting>
  <conditionalFormatting sqref="G277">
    <cfRule type="containsText" dxfId="42" priority="43" operator="containsText" text="Voir autorisation messages électroniques">
      <formula>NOT(ISERROR(SEARCH("Voir autorisation messages électroniques",G277)))</formula>
    </cfRule>
  </conditionalFormatting>
  <conditionalFormatting sqref="G286">
    <cfRule type="containsText" dxfId="41" priority="42" operator="containsText" text="Voir autorisation messages électriniques">
      <formula>NOT(ISERROR(SEARCH("Voir autorisation messages électriniques",G286)))</formula>
    </cfRule>
  </conditionalFormatting>
  <conditionalFormatting sqref="G286">
    <cfRule type="containsText" dxfId="40" priority="41" operator="containsText" text="Voir autorisation messages électroniques">
      <formula>NOT(ISERROR(SEARCH("Voir autorisation messages électroniques",G286)))</formula>
    </cfRule>
  </conditionalFormatting>
  <conditionalFormatting sqref="G295">
    <cfRule type="containsText" dxfId="39" priority="40" operator="containsText" text="Voir autorisation messages électriniques">
      <formula>NOT(ISERROR(SEARCH("Voir autorisation messages électriniques",G295)))</formula>
    </cfRule>
  </conditionalFormatting>
  <conditionalFormatting sqref="G295">
    <cfRule type="containsText" dxfId="38" priority="39" operator="containsText" text="Voir autorisation messages électroniques">
      <formula>NOT(ISERROR(SEARCH("Voir autorisation messages électroniques",G295)))</formula>
    </cfRule>
  </conditionalFormatting>
  <conditionalFormatting sqref="G309">
    <cfRule type="containsText" dxfId="37" priority="38" operator="containsText" text="Voir autorisation messages électriniques">
      <formula>NOT(ISERROR(SEARCH("Voir autorisation messages électriniques",G309)))</formula>
    </cfRule>
  </conditionalFormatting>
  <conditionalFormatting sqref="G309">
    <cfRule type="containsText" dxfId="36" priority="37" operator="containsText" text="Voir autorisation messages électroniques">
      <formula>NOT(ISERROR(SEARCH("Voir autorisation messages électroniques",G309)))</formula>
    </cfRule>
  </conditionalFormatting>
  <conditionalFormatting sqref="G318">
    <cfRule type="containsText" dxfId="35" priority="36" operator="containsText" text="Voir autorisation messages électriniques">
      <formula>NOT(ISERROR(SEARCH("Voir autorisation messages électriniques",G318)))</formula>
    </cfRule>
  </conditionalFormatting>
  <conditionalFormatting sqref="G318">
    <cfRule type="containsText" dxfId="34" priority="35" operator="containsText" text="Voir autorisation messages électroniques">
      <formula>NOT(ISERROR(SEARCH("Voir autorisation messages électroniques",G318)))</formula>
    </cfRule>
  </conditionalFormatting>
  <conditionalFormatting sqref="G327">
    <cfRule type="containsText" dxfId="33" priority="34" operator="containsText" text="Voir autorisation messages électriniques">
      <formula>NOT(ISERROR(SEARCH("Voir autorisation messages électriniques",G327)))</formula>
    </cfRule>
  </conditionalFormatting>
  <conditionalFormatting sqref="G327">
    <cfRule type="containsText" dxfId="32" priority="33" operator="containsText" text="Voir autorisation messages électroniques">
      <formula>NOT(ISERROR(SEARCH("Voir autorisation messages électroniques",G327)))</formula>
    </cfRule>
  </conditionalFormatting>
  <conditionalFormatting sqref="G336">
    <cfRule type="containsText" dxfId="31" priority="32" operator="containsText" text="Voir autorisation messages électriniques">
      <formula>NOT(ISERROR(SEARCH("Voir autorisation messages électriniques",G336)))</formula>
    </cfRule>
  </conditionalFormatting>
  <conditionalFormatting sqref="G336">
    <cfRule type="containsText" dxfId="30" priority="31" operator="containsText" text="Voir autorisation messages électroniques">
      <formula>NOT(ISERROR(SEARCH("Voir autorisation messages électroniques",G336)))</formula>
    </cfRule>
  </conditionalFormatting>
  <conditionalFormatting sqref="G345">
    <cfRule type="containsText" dxfId="29" priority="30" operator="containsText" text="Voir autorisation messages électriniques">
      <formula>NOT(ISERROR(SEARCH("Voir autorisation messages électriniques",G345)))</formula>
    </cfRule>
  </conditionalFormatting>
  <conditionalFormatting sqref="G345">
    <cfRule type="containsText" dxfId="28" priority="29" operator="containsText" text="Voir autorisation messages électroniques">
      <formula>NOT(ISERROR(SEARCH("Voir autorisation messages électroniques",G345)))</formula>
    </cfRule>
  </conditionalFormatting>
  <conditionalFormatting sqref="G354">
    <cfRule type="containsText" dxfId="27" priority="28" operator="containsText" text="Voir autorisation messages électriniques">
      <formula>NOT(ISERROR(SEARCH("Voir autorisation messages électriniques",G354)))</formula>
    </cfRule>
  </conditionalFormatting>
  <conditionalFormatting sqref="G354">
    <cfRule type="containsText" dxfId="26" priority="27" operator="containsText" text="Voir autorisation messages électroniques">
      <formula>NOT(ISERROR(SEARCH("Voir autorisation messages électroniques",G354)))</formula>
    </cfRule>
  </conditionalFormatting>
  <conditionalFormatting sqref="G368">
    <cfRule type="containsText" dxfId="25" priority="26" operator="containsText" text="Voir autorisation messages électriniques">
      <formula>NOT(ISERROR(SEARCH("Voir autorisation messages électriniques",G368)))</formula>
    </cfRule>
  </conditionalFormatting>
  <conditionalFormatting sqref="G368">
    <cfRule type="containsText" dxfId="24" priority="25" operator="containsText" text="Voir autorisation messages électroniques">
      <formula>NOT(ISERROR(SEARCH("Voir autorisation messages électroniques",G368)))</formula>
    </cfRule>
  </conditionalFormatting>
  <conditionalFormatting sqref="G377">
    <cfRule type="containsText" dxfId="23" priority="24" operator="containsText" text="Voir autorisation messages électriniques">
      <formula>NOT(ISERROR(SEARCH("Voir autorisation messages électriniques",G377)))</formula>
    </cfRule>
  </conditionalFormatting>
  <conditionalFormatting sqref="G377">
    <cfRule type="containsText" dxfId="22" priority="23" operator="containsText" text="Voir autorisation messages électroniques">
      <formula>NOT(ISERROR(SEARCH("Voir autorisation messages électroniques",G377)))</formula>
    </cfRule>
  </conditionalFormatting>
  <conditionalFormatting sqref="G386">
    <cfRule type="containsText" dxfId="21" priority="22" operator="containsText" text="Voir autorisation messages électriniques">
      <formula>NOT(ISERROR(SEARCH("Voir autorisation messages électriniques",G386)))</formula>
    </cfRule>
  </conditionalFormatting>
  <conditionalFormatting sqref="G386">
    <cfRule type="containsText" dxfId="20" priority="21" operator="containsText" text="Voir autorisation messages électroniques">
      <formula>NOT(ISERROR(SEARCH("Voir autorisation messages électroniques",G386)))</formula>
    </cfRule>
  </conditionalFormatting>
  <conditionalFormatting sqref="G395">
    <cfRule type="containsText" dxfId="19" priority="20" operator="containsText" text="Voir autorisation messages électriniques">
      <formula>NOT(ISERROR(SEARCH("Voir autorisation messages électriniques",G395)))</formula>
    </cfRule>
  </conditionalFormatting>
  <conditionalFormatting sqref="G395">
    <cfRule type="containsText" dxfId="18" priority="19" operator="containsText" text="Voir autorisation messages électroniques">
      <formula>NOT(ISERROR(SEARCH("Voir autorisation messages électroniques",G395)))</formula>
    </cfRule>
  </conditionalFormatting>
  <conditionalFormatting sqref="G404">
    <cfRule type="containsText" dxfId="17" priority="18" operator="containsText" text="Voir autorisation messages électriniques">
      <formula>NOT(ISERROR(SEARCH("Voir autorisation messages électriniques",G404)))</formula>
    </cfRule>
  </conditionalFormatting>
  <conditionalFormatting sqref="G404">
    <cfRule type="containsText" dxfId="16" priority="17" operator="containsText" text="Voir autorisation messages électroniques">
      <formula>NOT(ISERROR(SEARCH("Voir autorisation messages électroniques",G404)))</formula>
    </cfRule>
  </conditionalFormatting>
  <conditionalFormatting sqref="G413">
    <cfRule type="containsText" dxfId="15" priority="16" operator="containsText" text="Voir autorisation messages électriniques">
      <formula>NOT(ISERROR(SEARCH("Voir autorisation messages électriniques",G413)))</formula>
    </cfRule>
  </conditionalFormatting>
  <conditionalFormatting sqref="G413">
    <cfRule type="containsText" dxfId="14" priority="15" operator="containsText" text="Voir autorisation messages électroniques">
      <formula>NOT(ISERROR(SEARCH("Voir autorisation messages électroniques",G413)))</formula>
    </cfRule>
  </conditionalFormatting>
  <conditionalFormatting sqref="G427">
    <cfRule type="containsText" dxfId="13" priority="14" operator="containsText" text="Voir autorisation messages électriniques">
      <formula>NOT(ISERROR(SEARCH("Voir autorisation messages électriniques",G427)))</formula>
    </cfRule>
  </conditionalFormatting>
  <conditionalFormatting sqref="G427">
    <cfRule type="containsText" dxfId="12" priority="13" operator="containsText" text="Voir autorisation messages électroniques">
      <formula>NOT(ISERROR(SEARCH("Voir autorisation messages électroniques",G427)))</formula>
    </cfRule>
  </conditionalFormatting>
  <conditionalFormatting sqref="G436">
    <cfRule type="containsText" dxfId="11" priority="12" operator="containsText" text="Voir autorisation messages électriniques">
      <formula>NOT(ISERROR(SEARCH("Voir autorisation messages électriniques",G436)))</formula>
    </cfRule>
  </conditionalFormatting>
  <conditionalFormatting sqref="G436">
    <cfRule type="containsText" dxfId="10" priority="11" operator="containsText" text="Voir autorisation messages électroniques">
      <formula>NOT(ISERROR(SEARCH("Voir autorisation messages électroniques",G436)))</formula>
    </cfRule>
  </conditionalFormatting>
  <conditionalFormatting sqref="G445">
    <cfRule type="containsText" dxfId="9" priority="10" operator="containsText" text="Voir autorisation messages électriniques">
      <formula>NOT(ISERROR(SEARCH("Voir autorisation messages électriniques",G445)))</formula>
    </cfRule>
  </conditionalFormatting>
  <conditionalFormatting sqref="G445">
    <cfRule type="containsText" dxfId="8" priority="9" operator="containsText" text="Voir autorisation messages électroniques">
      <formula>NOT(ISERROR(SEARCH("Voir autorisation messages électroniques",G445)))</formula>
    </cfRule>
  </conditionalFormatting>
  <conditionalFormatting sqref="G454">
    <cfRule type="containsText" dxfId="7" priority="8" operator="containsText" text="Voir autorisation messages électriniques">
      <formula>NOT(ISERROR(SEARCH("Voir autorisation messages électriniques",G454)))</formula>
    </cfRule>
  </conditionalFormatting>
  <conditionalFormatting sqref="G454">
    <cfRule type="containsText" dxfId="6" priority="7" operator="containsText" text="Voir autorisation messages électroniques">
      <formula>NOT(ISERROR(SEARCH("Voir autorisation messages électroniques",G454)))</formula>
    </cfRule>
  </conditionalFormatting>
  <conditionalFormatting sqref="G472">
    <cfRule type="containsText" dxfId="5" priority="6" operator="containsText" text="Voir autorisation messages électriniques">
      <formula>NOT(ISERROR(SEARCH("Voir autorisation messages électriniques",G472)))</formula>
    </cfRule>
  </conditionalFormatting>
  <conditionalFormatting sqref="G472">
    <cfRule type="containsText" dxfId="4" priority="5" operator="containsText" text="Voir autorisation messages électroniques">
      <formula>NOT(ISERROR(SEARCH("Voir autorisation messages électroniques",G472)))</formula>
    </cfRule>
  </conditionalFormatting>
  <conditionalFormatting sqref="G486">
    <cfRule type="containsText" dxfId="3" priority="4" operator="containsText" text="Voir autorisation messages électriniques">
      <formula>NOT(ISERROR(SEARCH("Voir autorisation messages électriniques",G486)))</formula>
    </cfRule>
  </conditionalFormatting>
  <conditionalFormatting sqref="G486">
    <cfRule type="containsText" dxfId="2" priority="3" operator="containsText" text="Voir autorisation messages électroniques">
      <formula>NOT(ISERROR(SEARCH("Voir autorisation messages électroniques",G486)))</formula>
    </cfRule>
  </conditionalFormatting>
  <conditionalFormatting sqref="G495">
    <cfRule type="containsText" dxfId="1" priority="2" operator="containsText" text="Voir autorisation messages électriniques">
      <formula>NOT(ISERROR(SEARCH("Voir autorisation messages électriniques",G495)))</formula>
    </cfRule>
  </conditionalFormatting>
  <conditionalFormatting sqref="G495">
    <cfRule type="containsText" dxfId="0" priority="1" operator="containsText" text="Voir autorisation messages électroniques">
      <formula>NOT(ISERROR(SEARCH("Voir autorisation messages électroniques",G495)))</formula>
    </cfRule>
  </conditionalFormatting>
  <dataValidations count="1">
    <dataValidation type="custom" allowBlank="1" showInputMessage="1" showErrorMessage="1" sqref="O4 L4:M4 G14:I14 G23:I23 G32:I32 G41:I41 G50:I50 G59:I59 G73:I73 G82:I82 G91:I91 G100:I100 G109:I109 G118:I118 G132:I132 G141:I141 G150:I150 G159:I159 G168:I168 G177:I177 G191:I191 G200:I200 G209:I209 G218:I218 G227:I227 G236:I236 G250:I250 G259:I259 G268:I268 G277:I277 G286:I286 G295:I295 G309:I309 G318:I318 G327:I327 G336:I336 G345:I345 G354:I354 G368:I368 G377:I377 G386:I386 G395:I395 G404:I404 G413:I413 G427:I427 G436:I436 G445:I445 G454:I454 G472:I472 G486:I486 G495:I495">
      <formula1>"&gt;=1"</formula1>
    </dataValidation>
  </dataValidations>
  <pageMargins left="0.23622047244094491" right="0.23622047244094491" top="0.11811023622047245" bottom="0.74803149606299213" header="0" footer="0"/>
  <pageSetup paperSize="9" scale="6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sheetPr>
  <dimension ref="A1:J82"/>
  <sheetViews>
    <sheetView topLeftCell="A63" workbookViewId="0">
      <selection activeCell="A51" sqref="A51"/>
    </sheetView>
  </sheetViews>
  <sheetFormatPr baseColWidth="10" defaultRowHeight="13.2" x14ac:dyDescent="0.25"/>
  <sheetData>
    <row r="1" spans="1:10" x14ac:dyDescent="0.25">
      <c r="J1" s="41"/>
    </row>
    <row r="3" spans="1:10" x14ac:dyDescent="0.25">
      <c r="A3" t="s">
        <v>30</v>
      </c>
    </row>
    <row r="5" spans="1:10" x14ac:dyDescent="0.25">
      <c r="A5" t="s">
        <v>31</v>
      </c>
    </row>
    <row r="6" spans="1:10" x14ac:dyDescent="0.25">
      <c r="A6" t="s">
        <v>119</v>
      </c>
    </row>
    <row r="9" spans="1:10" x14ac:dyDescent="0.25">
      <c r="A9" t="s">
        <v>120</v>
      </c>
    </row>
    <row r="10" spans="1:10" x14ac:dyDescent="0.25">
      <c r="A10" t="s">
        <v>121</v>
      </c>
    </row>
    <row r="11" spans="1:10" x14ac:dyDescent="0.25">
      <c r="A11" t="s">
        <v>176</v>
      </c>
    </row>
    <row r="12" spans="1:10" x14ac:dyDescent="0.25">
      <c r="A12" t="s">
        <v>177</v>
      </c>
    </row>
    <row r="13" spans="1:10" x14ac:dyDescent="0.25">
      <c r="A13" t="s">
        <v>122</v>
      </c>
    </row>
    <row r="15" spans="1:10" x14ac:dyDescent="0.25">
      <c r="A15" t="s">
        <v>181</v>
      </c>
    </row>
    <row r="16" spans="1:10" x14ac:dyDescent="0.25">
      <c r="A16" t="s">
        <v>123</v>
      </c>
    </row>
    <row r="17" spans="1:1" x14ac:dyDescent="0.25">
      <c r="A17" t="s">
        <v>182</v>
      </c>
    </row>
    <row r="18" spans="1:1" x14ac:dyDescent="0.25">
      <c r="A18" t="s">
        <v>178</v>
      </c>
    </row>
    <row r="19" spans="1:1" x14ac:dyDescent="0.25">
      <c r="A19" t="s">
        <v>179</v>
      </c>
    </row>
    <row r="21" spans="1:1" x14ac:dyDescent="0.25">
      <c r="A21" t="s">
        <v>32</v>
      </c>
    </row>
    <row r="22" spans="1:1" x14ac:dyDescent="0.25">
      <c r="A22" t="s">
        <v>33</v>
      </c>
    </row>
    <row r="23" spans="1:1" x14ac:dyDescent="0.25">
      <c r="A23" t="s">
        <v>34</v>
      </c>
    </row>
    <row r="24" spans="1:1" x14ac:dyDescent="0.25">
      <c r="A24" t="s">
        <v>54</v>
      </c>
    </row>
    <row r="25" spans="1:1" x14ac:dyDescent="0.25">
      <c r="A25" t="s">
        <v>36</v>
      </c>
    </row>
    <row r="26" spans="1:1" x14ac:dyDescent="0.25">
      <c r="A26" t="s">
        <v>124</v>
      </c>
    </row>
    <row r="27" spans="1:1" x14ac:dyDescent="0.25">
      <c r="A27" t="s">
        <v>35</v>
      </c>
    </row>
    <row r="28" spans="1:1" x14ac:dyDescent="0.25">
      <c r="A28" t="s">
        <v>190</v>
      </c>
    </row>
    <row r="29" spans="1:1" x14ac:dyDescent="0.25">
      <c r="A29" t="s">
        <v>125</v>
      </c>
    </row>
    <row r="31" spans="1:1" x14ac:dyDescent="0.25">
      <c r="A31" t="s">
        <v>147</v>
      </c>
    </row>
    <row r="32" spans="1:1" x14ac:dyDescent="0.25">
      <c r="A32" t="s">
        <v>148</v>
      </c>
    </row>
    <row r="33" spans="1:1" x14ac:dyDescent="0.25">
      <c r="A33" t="s">
        <v>37</v>
      </c>
    </row>
    <row r="34" spans="1:1" x14ac:dyDescent="0.25">
      <c r="A34" t="s">
        <v>38</v>
      </c>
    </row>
    <row r="35" spans="1:1" x14ac:dyDescent="0.25">
      <c r="A35" t="s">
        <v>39</v>
      </c>
    </row>
    <row r="36" spans="1:1" x14ac:dyDescent="0.25">
      <c r="A36" t="s">
        <v>126</v>
      </c>
    </row>
    <row r="37" spans="1:1" x14ac:dyDescent="0.25">
      <c r="A37" t="s">
        <v>127</v>
      </c>
    </row>
    <row r="38" spans="1:1" x14ac:dyDescent="0.25">
      <c r="A38" t="s">
        <v>128</v>
      </c>
    </row>
    <row r="40" spans="1:1" x14ac:dyDescent="0.25">
      <c r="A40" t="s">
        <v>40</v>
      </c>
    </row>
    <row r="41" spans="1:1" x14ac:dyDescent="0.25">
      <c r="A41" t="s">
        <v>129</v>
      </c>
    </row>
    <row r="43" spans="1:1" x14ac:dyDescent="0.25">
      <c r="A43" t="s">
        <v>41</v>
      </c>
    </row>
    <row r="44" spans="1:1" x14ac:dyDescent="0.25">
      <c r="A44" t="s">
        <v>130</v>
      </c>
    </row>
    <row r="45" spans="1:1" x14ac:dyDescent="0.25">
      <c r="A45" t="s">
        <v>42</v>
      </c>
    </row>
    <row r="46" spans="1:1" x14ac:dyDescent="0.25">
      <c r="A46" t="s">
        <v>43</v>
      </c>
    </row>
    <row r="48" spans="1:1" x14ac:dyDescent="0.25">
      <c r="A48" t="s">
        <v>196</v>
      </c>
    </row>
    <row r="49" spans="1:1" x14ac:dyDescent="0.25">
      <c r="A49" t="s">
        <v>197</v>
      </c>
    </row>
    <row r="50" spans="1:1" x14ac:dyDescent="0.25">
      <c r="A50" s="91" t="s">
        <v>198</v>
      </c>
    </row>
    <row r="51" spans="1:1" x14ac:dyDescent="0.25">
      <c r="A51" s="91" t="s">
        <v>200</v>
      </c>
    </row>
    <row r="52" spans="1:1" x14ac:dyDescent="0.25">
      <c r="A52" t="s">
        <v>44</v>
      </c>
    </row>
    <row r="55" spans="1:1" x14ac:dyDescent="0.25">
      <c r="A55" t="s">
        <v>45</v>
      </c>
    </row>
    <row r="56" spans="1:1" x14ac:dyDescent="0.25">
      <c r="A56" t="s">
        <v>46</v>
      </c>
    </row>
    <row r="57" spans="1:1" x14ac:dyDescent="0.25">
      <c r="A57" t="s">
        <v>47</v>
      </c>
    </row>
    <row r="58" spans="1:1" x14ac:dyDescent="0.25">
      <c r="A58" t="s">
        <v>48</v>
      </c>
    </row>
    <row r="60" spans="1:1" x14ac:dyDescent="0.25">
      <c r="A60" t="s">
        <v>49</v>
      </c>
    </row>
    <row r="61" spans="1:1" x14ac:dyDescent="0.25">
      <c r="A61" t="s">
        <v>50</v>
      </c>
    </row>
    <row r="62" spans="1:1" x14ac:dyDescent="0.25">
      <c r="A62" t="s">
        <v>51</v>
      </c>
    </row>
    <row r="63" spans="1:1" x14ac:dyDescent="0.25">
      <c r="A63" t="s">
        <v>52</v>
      </c>
    </row>
    <row r="64" spans="1:1" x14ac:dyDescent="0.25">
      <c r="A64" t="s">
        <v>53</v>
      </c>
    </row>
    <row r="66" spans="1:2" x14ac:dyDescent="0.25">
      <c r="A66" t="s">
        <v>183</v>
      </c>
    </row>
    <row r="69" spans="1:2" x14ac:dyDescent="0.25">
      <c r="A69" t="s">
        <v>131</v>
      </c>
    </row>
    <row r="70" spans="1:2" x14ac:dyDescent="0.25">
      <c r="A70" t="s">
        <v>132</v>
      </c>
    </row>
    <row r="71" spans="1:2" x14ac:dyDescent="0.25">
      <c r="A71" t="s">
        <v>133</v>
      </c>
    </row>
    <row r="72" spans="1:2" x14ac:dyDescent="0.25">
      <c r="A72" t="s">
        <v>134</v>
      </c>
    </row>
    <row r="74" spans="1:2" x14ac:dyDescent="0.25">
      <c r="A74" t="s">
        <v>135</v>
      </c>
    </row>
    <row r="75" spans="1:2" x14ac:dyDescent="0.25">
      <c r="A75" t="s">
        <v>136</v>
      </c>
    </row>
    <row r="76" spans="1:2" x14ac:dyDescent="0.25">
      <c r="A76" s="91" t="s">
        <v>199</v>
      </c>
    </row>
    <row r="77" spans="1:2" x14ac:dyDescent="0.25">
      <c r="A77" t="s">
        <v>137</v>
      </c>
    </row>
    <row r="78" spans="1:2" x14ac:dyDescent="0.25">
      <c r="A78" t="s">
        <v>138</v>
      </c>
    </row>
    <row r="80" spans="1:2" x14ac:dyDescent="0.25">
      <c r="B80" s="41"/>
    </row>
    <row r="81" spans="1:2" x14ac:dyDescent="0.25">
      <c r="A81" t="s">
        <v>139</v>
      </c>
      <c r="B81" s="41">
        <v>44091</v>
      </c>
    </row>
    <row r="82" spans="1:2" x14ac:dyDescent="0.25">
      <c r="A82" t="s">
        <v>140</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
  <sheetViews>
    <sheetView workbookViewId="0"/>
  </sheetViews>
  <sheetFormatPr baseColWidth="10"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Liste</vt:lpstr>
      <vt:lpstr>FPx8</vt:lpstr>
      <vt:lpstr>F.MERE</vt:lpstr>
      <vt:lpstr>R.1.Prés.</vt:lpstr>
      <vt:lpstr>Anc,FP</vt:lpstr>
      <vt:lpstr>Lisez-moi</vt:lpstr>
      <vt:lpstr>Feuil2</vt:lpstr>
      <vt:lpstr>'Anc,FP'!Zone_d_impression</vt:lpstr>
      <vt:lpstr>'FPx8'!Zone_d_impression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dc:creator>
  <cp:lastModifiedBy>JB</cp:lastModifiedBy>
  <cp:lastPrinted>2020-07-18T19:56:02Z</cp:lastPrinted>
  <dcterms:created xsi:type="dcterms:W3CDTF">2010-05-24T15:10:51Z</dcterms:created>
  <dcterms:modified xsi:type="dcterms:W3CDTF">2020-09-17T09:28:41Z</dcterms:modified>
</cp:coreProperties>
</file>